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Harro\Google Drive\NIB-plan D66\"/>
    </mc:Choice>
  </mc:AlternateContent>
  <xr:revisionPtr revIDLastSave="0" documentId="13_ncr:1_{173C5D24-EC5F-4343-B0D3-29409D53664C}" xr6:coauthVersionLast="44" xr6:coauthVersionMax="44" xr10:uidLastSave="{00000000-0000-0000-0000-000000000000}"/>
  <bookViews>
    <workbookView xWindow="25580" yWindow="-6490" windowWidth="14400" windowHeight="7360" xr2:uid="{00000000-000D-0000-FFFF-FFFF00000000}"/>
  </bookViews>
  <sheets>
    <sheet name="Financieringsvoorstel" sheetId="1" r:id="rId1"/>
    <sheet name="Sleuteltabel" sheetId="11" r:id="rId2"/>
    <sheet name="Vermogensrendementsheffing" sheetId="3" state="hidden" r:id="rId3"/>
    <sheet name="Sheet4" sheetId="4" state="hidden" r:id="rId4"/>
    <sheet name="Zorgkosten" sheetId="7" state="hidden" r:id="rId5"/>
    <sheet name="V&amp;J" sheetId="8"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3" i="11" l="1"/>
  <c r="B71" i="1"/>
  <c r="F64" i="11"/>
  <c r="F66" i="11"/>
  <c r="G66" i="11" s="1"/>
  <c r="F67" i="11"/>
  <c r="G67" i="11" s="1"/>
  <c r="F69" i="11"/>
  <c r="F63" i="11"/>
  <c r="B74" i="1"/>
  <c r="B73" i="1"/>
  <c r="B72" i="1"/>
  <c r="F109" i="11"/>
  <c r="F106" i="11"/>
  <c r="F107" i="11"/>
  <c r="F108" i="11"/>
  <c r="F102" i="11"/>
  <c r="F103" i="11"/>
  <c r="F101" i="11"/>
  <c r="G112" i="11"/>
  <c r="B70" i="1"/>
  <c r="F55" i="11"/>
  <c r="G55" i="11" s="1"/>
  <c r="F54" i="11"/>
  <c r="G54" i="11" s="1"/>
  <c r="B69" i="1"/>
  <c r="B41" i="1"/>
  <c r="B43" i="1"/>
  <c r="B42" i="1"/>
  <c r="G83" i="11"/>
  <c r="F82" i="11"/>
  <c r="F44" i="11"/>
  <c r="G44" i="11" s="1"/>
  <c r="F45" i="11"/>
  <c r="G45" i="11" s="1"/>
  <c r="F46" i="11"/>
  <c r="F47" i="11"/>
  <c r="G47" i="11" s="1"/>
  <c r="F48" i="11"/>
  <c r="G48" i="11" s="1"/>
  <c r="F49" i="11"/>
  <c r="G49" i="11" s="1"/>
  <c r="F50" i="11"/>
  <c r="G50" i="11" s="1"/>
  <c r="F51" i="11"/>
  <c r="G51" i="11" s="1"/>
  <c r="F52" i="11"/>
  <c r="G52" i="11" s="1"/>
  <c r="F43" i="11"/>
  <c r="G43" i="11" s="1"/>
  <c r="G24" i="11"/>
  <c r="G25" i="11"/>
  <c r="G26" i="11"/>
  <c r="G27" i="11"/>
  <c r="G29" i="11"/>
  <c r="G30" i="11"/>
  <c r="G31" i="11"/>
  <c r="G32" i="11"/>
  <c r="G33" i="11"/>
  <c r="G34" i="11"/>
  <c r="G36" i="11"/>
  <c r="G37" i="11"/>
  <c r="G38" i="11"/>
  <c r="G39" i="11"/>
  <c r="G40" i="11"/>
  <c r="G41" i="11"/>
  <c r="G46" i="11"/>
  <c r="G57" i="11"/>
  <c r="G58" i="11"/>
  <c r="G59" i="11"/>
  <c r="G63" i="11"/>
  <c r="G64" i="11"/>
  <c r="G69" i="11"/>
  <c r="G70" i="11"/>
  <c r="G72" i="11"/>
  <c r="G73" i="11"/>
  <c r="G76" i="11"/>
  <c r="G77" i="11"/>
  <c r="G78" i="11"/>
  <c r="G79" i="11"/>
  <c r="G80" i="11"/>
  <c r="G82" i="11"/>
  <c r="G84" i="11"/>
  <c r="G86" i="11"/>
  <c r="G87" i="11"/>
  <c r="G88" i="11"/>
  <c r="G89" i="11"/>
  <c r="G91" i="11"/>
  <c r="G92" i="11"/>
  <c r="G93" i="11"/>
  <c r="G94" i="11"/>
  <c r="G96" i="11"/>
  <c r="G97" i="11"/>
  <c r="G100" i="11"/>
  <c r="G101" i="11"/>
  <c r="G102" i="11"/>
  <c r="G103" i="11"/>
  <c r="G105" i="11"/>
  <c r="G106" i="11"/>
  <c r="G107" i="11"/>
  <c r="G108" i="11"/>
  <c r="G109" i="11"/>
  <c r="G110" i="11"/>
  <c r="G113" i="11"/>
  <c r="B75" i="1" s="1"/>
  <c r="G114" i="11"/>
  <c r="G116" i="11"/>
  <c r="G117" i="11"/>
  <c r="G118" i="11"/>
  <c r="G120" i="11"/>
  <c r="G121" i="11"/>
  <c r="G23" i="11"/>
  <c r="B49" i="1" l="1"/>
  <c r="B48" i="1"/>
  <c r="B68" i="1"/>
  <c r="B65" i="1"/>
  <c r="B44" i="1" s="1"/>
  <c r="B55" i="1"/>
  <c r="G20" i="11"/>
  <c r="B40" i="1"/>
  <c r="B47" i="1" l="1"/>
  <c r="B67" i="1"/>
  <c r="B54" i="1"/>
  <c r="B39" i="1"/>
  <c r="D33" i="1"/>
  <c r="D34" i="1"/>
  <c r="D35" i="1"/>
  <c r="D8" i="8"/>
  <c r="D7" i="8"/>
  <c r="D6" i="8"/>
  <c r="D5" i="8"/>
  <c r="D4" i="8"/>
  <c r="D6" i="7"/>
  <c r="D7" i="7"/>
  <c r="D8" i="7"/>
  <c r="D9" i="7"/>
  <c r="D10" i="7"/>
  <c r="D11" i="7"/>
  <c r="D12" i="7"/>
  <c r="D13" i="7"/>
  <c r="D14" i="7"/>
  <c r="D15" i="7"/>
  <c r="D5" i="7"/>
  <c r="B49" i="3"/>
  <c r="I12" i="3"/>
  <c r="H8" i="3"/>
  <c r="H9" i="3"/>
  <c r="H10" i="3"/>
  <c r="H11" i="3"/>
  <c r="J11" i="3" s="1"/>
  <c r="H7" i="3"/>
  <c r="C6" i="3"/>
  <c r="D6" i="3" s="1"/>
  <c r="E6" i="3" s="1"/>
  <c r="F6" i="3" s="1"/>
  <c r="B3" i="1" l="1"/>
  <c r="B78" i="1" s="1"/>
  <c r="J9" i="3"/>
  <c r="D9" i="8"/>
  <c r="D16" i="7"/>
  <c r="J8" i="3"/>
  <c r="J7" i="3"/>
  <c r="J10" i="3"/>
  <c r="B50" i="1" l="1"/>
  <c r="J12" i="3"/>
  <c r="B77" i="1" l="1"/>
  <c r="B79" i="1" s="1"/>
  <c r="B4" i="1" l="1"/>
  <c r="B5" i="1" s="1"/>
</calcChain>
</file>

<file path=xl/sharedStrings.xml><?xml version="1.0" encoding="utf-8"?>
<sst xmlns="http://schemas.openxmlformats.org/spreadsheetml/2006/main" count="258" uniqueCount="218">
  <si>
    <t>Baten (€mld)</t>
  </si>
  <si>
    <t>Totaal:</t>
  </si>
  <si>
    <t>Heffingskortingen</t>
  </si>
  <si>
    <t>Arbeidskorting</t>
  </si>
  <si>
    <t>Ouderenkorting</t>
  </si>
  <si>
    <t>Totaal</t>
  </si>
  <si>
    <t>Rendementsberekeningen Commissie Dijkhuizen (nominaal)</t>
  </si>
  <si>
    <t>Betaalrekening</t>
  </si>
  <si>
    <t>Spaarrekening</t>
  </si>
  <si>
    <t>Termijndeposito</t>
  </si>
  <si>
    <t>Lange rente</t>
  </si>
  <si>
    <t>Aandelen</t>
  </si>
  <si>
    <t>2005-2010</t>
  </si>
  <si>
    <t>vermogensopmaak</t>
  </si>
  <si>
    <t>Gemiddeld (%)</t>
  </si>
  <si>
    <t>Gewogen rendement (%)</t>
  </si>
  <si>
    <t>Jaar</t>
  </si>
  <si>
    <t>gemiddelde huizenprijs</t>
  </si>
  <si>
    <t>De Commissie Dijkhuizen becijfert dat de opbrengst van de huidige vermogensrendementsheffing in 2014 3,667 miljard heeft opgeleverd op een grondslag van ongeveer 306 miljard euro. Omdat deze grondslag naar de ongeveer 1200 miljard euro die van Bavel becijfert, verhoogd wordt, wordt dit bedrag ook met 1200/306 vermenigvuldigd. Gezien het feit dat deze aanwas bij box-1 opgeteld wordt en vermogen bijzonder geconcentreerd is in Nederland, is het niet onredelijk om aan te nemen dat verreweg het grootste deel van de belastingplichtigen in de hoogste schijf zal zitten. We verhogen dit bedrag dus nogmaals met een factor (50/30), een percentage net onder de hoogste 52% en het huidige belastingtarief. Hoewel de aanname van 4% rendement op de lange termijn realistisch en zelfs redelijk conservatief lijkt (in de periode 1980-2010 is een gewogen gemiddeld rendement van 5,9% op de activa die nu onder de vermogensrendementsheffing vallen en een van bijna 4% op onroerend goed. Moeilijker te meten vermogensaanwas zoals waardevermeerdering van niet publiek verhandelde bedrijven zou goed nog hoger kunnen liggen.</t>
  </si>
  <si>
    <t>Verhoging dieselaccijns naar niveau benzine</t>
  </si>
  <si>
    <t>Afschaffing belastingvermindering Energiebelasting</t>
  </si>
  <si>
    <t>Totaalsaldo</t>
  </si>
  <si>
    <t>Geschatte besparing in %</t>
  </si>
  <si>
    <t>Besparing (miljard)</t>
  </si>
  <si>
    <t>http://www.nationaalkompas.nl/zorg/huidige-kosten/</t>
  </si>
  <si>
    <t>Sector</t>
  </si>
  <si>
    <t>Absoluut (miljoen euro)</t>
  </si>
  <si>
    <t>Ziekenhuiszorg en medisch specialistische zorg</t>
  </si>
  <si>
    <t>Ouderenzorg</t>
  </si>
  <si>
    <t>Welzijnszorg</t>
  </si>
  <si>
    <t>Genees- en hulpmiddelen, lichaamsmaterialen</t>
  </si>
  <si>
    <t>Eerstelijnszorg</t>
  </si>
  <si>
    <t>Gehandicaptenzorg</t>
  </si>
  <si>
    <t>Geestelijke gezondheidszorg</t>
  </si>
  <si>
    <t>Beheer</t>
  </si>
  <si>
    <t>Overige zorgaanbieders</t>
  </si>
  <si>
    <t>Openbare gezondheidszorg en preventie</t>
  </si>
  <si>
    <t>Ambulancezorg en vervoer</t>
  </si>
  <si>
    <t>http://www.rijksbegroting.nl/2015/voorbereiding/begroting,kst199429.html</t>
  </si>
  <si>
    <t>Kosten (miljoen)</t>
  </si>
  <si>
    <t>Veiligheid en Criminaliteitsbestrijding</t>
  </si>
  <si>
    <t>Nationale Politie</t>
  </si>
  <si>
    <t>Sanctietoepassing</t>
  </si>
  <si>
    <t>Rechtspleging en Rechtsbijstand</t>
  </si>
  <si>
    <t>Jeugd</t>
  </si>
  <si>
    <t>Bezuiniging</t>
  </si>
  <si>
    <t>Vervanging huidige regelingen</t>
  </si>
  <si>
    <t>Verwijdering degressiviteit Energiebelasting (Elektriciteit)</t>
  </si>
  <si>
    <t>Verwijdering degressiviteit Energiebelasting (Aardgas)</t>
  </si>
  <si>
    <t>Totaal huishoudens</t>
  </si>
  <si>
    <t>Totaal volwassen burgers</t>
  </si>
  <si>
    <t>Totale kosten</t>
  </si>
  <si>
    <t>miljard</t>
  </si>
  <si>
    <t>Aantal (x 1m)</t>
  </si>
  <si>
    <t>Totale baten</t>
  </si>
  <si>
    <t>Kosten basisinkomen</t>
  </si>
  <si>
    <t>Baten basisinkomen gesimplificeerd</t>
  </si>
  <si>
    <t>Bijstand &amp; re-integratie</t>
  </si>
  <si>
    <t>Milieubelastingen</t>
  </si>
  <si>
    <t>Baten basisinkomen uitgebreid</t>
  </si>
  <si>
    <t>Totaal (x €1 miljard)</t>
  </si>
  <si>
    <t>Totaal eerste kinderen</t>
  </si>
  <si>
    <t>september 2019. definitief</t>
  </si>
  <si>
    <t>is de sleutel van box 2 niet opgenomen in de sleuteltabel</t>
  </si>
  <si>
    <t>geen goede indicatie van de gevolgen van een tariefswijziging. Om die reden</t>
  </si>
  <si>
    <t>tot een grote grondslagwijziging heeft geleid. geeft een sleutel voor box 2</t>
  </si>
  <si>
    <t>Aangezien in het verleden een geringe wijziging van het tarief van box 2</t>
  </si>
  <si>
    <t>Bij grotere beleidswijzigingen wordt met een hoger eerste-ordegedragseffect gerekend.</t>
  </si>
  <si>
    <t>(e) Bij de tabaksaccijns bedraagt het eerste-ordegedragseffect 40%.</t>
  </si>
  <si>
    <t>Voor de Ibox-sleutel is een eerste-ordegedragseffect van 20% gehanteerd.</t>
  </si>
  <si>
    <t>VPB-tarief. Oftewel (7/22.55%)*22.55%. wat resulteert in een effectief VPB tarief van 7%.</t>
  </si>
  <si>
    <t>slechts in aanmerking genomen voor 5/H gedeelte. Waarbij H staat voor het percentage van het hoogste</t>
  </si>
  <si>
    <t>(d) De voordelen uit hoofde van activa waarvoor toepassing van de innovatiebox is verleend worden</t>
  </si>
  <si>
    <t>(c) Tussen haakjes staat het bedrag dat geldt voor personen geboren vóór 1-1-1946</t>
  </si>
  <si>
    <t>heffingskorting mee. Indien de 3e schijf wordt verlengd/verkort dan schuift het eindpunt van de afbouw mee.</t>
  </si>
  <si>
    <t>(b) Indien de 1e schijf wordt verlengd/verkort dan schuift het startpunt van afbouw algemene</t>
  </si>
  <si>
    <t>een impuls van gelijke omvang te krijgen. De sleutel van deze 3 schijven bedraagt  3.681 mln per procentpunt.</t>
  </si>
  <si>
    <t>(a) Om te waarborgen dat in 2020 een tweeschijvenstelsel ingevoerd wordt. dienen de huidige schijf 1. 2 en 3</t>
  </si>
  <si>
    <t>Shag (per pakje van 50 gram)</t>
  </si>
  <si>
    <t>Sigaretten (per pakje van 20 stuks)</t>
  </si>
  <si>
    <t>Tabaksaccijns (e)</t>
  </si>
  <si>
    <t>Wijn</t>
  </si>
  <si>
    <t>Bier</t>
  </si>
  <si>
    <t>Gedistilleerd (per liter ad 100%)</t>
  </si>
  <si>
    <t>eurocent</t>
  </si>
  <si>
    <t>Alcoholaccijns per liter</t>
  </si>
  <si>
    <t>LPG-accijns (d = 0.54 kg/l)</t>
  </si>
  <si>
    <t>Dieselaccijns (zwavelvrij)</t>
  </si>
  <si>
    <t>Benzineaccijns (ongelood)</t>
  </si>
  <si>
    <t>Brandstofaccijnzen per liter</t>
  </si>
  <si>
    <t>divers</t>
  </si>
  <si>
    <t>Motorrijtuigenbelasting (rijksdeel)</t>
  </si>
  <si>
    <t>Belastingvermindering EB per aansluiting</t>
  </si>
  <si>
    <t>&gt; 10 mln (effectief. incl. vrijstelling zakelijk)</t>
  </si>
  <si>
    <t>50.000 - 10 mln</t>
  </si>
  <si>
    <t>10000-50000</t>
  </si>
  <si>
    <t>0 - 10.000</t>
  </si>
  <si>
    <t>Elektriciteit in eurocenten per kWh</t>
  </si>
  <si>
    <t>&gt; 10 mln (zakelijk gebruik)</t>
  </si>
  <si>
    <t>1 mln - 10 mln</t>
  </si>
  <si>
    <t>170.000 - 1 mln</t>
  </si>
  <si>
    <t>0 - 170.000</t>
  </si>
  <si>
    <t>Aardgas in eurocenten per m3</t>
  </si>
  <si>
    <t>Energiebelasting (EB)</t>
  </si>
  <si>
    <t>Lage tarief</t>
  </si>
  <si>
    <t>Algemeen tarief</t>
  </si>
  <si>
    <t>BTW tarief</t>
  </si>
  <si>
    <t>Assurantiebelasting tarief</t>
  </si>
  <si>
    <t>wv. niet-woningen</t>
  </si>
  <si>
    <t>wv. woningen</t>
  </si>
  <si>
    <t>Overdrachtsbelasting tarief</t>
  </si>
  <si>
    <t>Belastingen van rechtsverkeer</t>
  </si>
  <si>
    <t>Tarief tweede schijf</t>
  </si>
  <si>
    <t>Drempel verhogen</t>
  </si>
  <si>
    <t>Tarief eerste schijf starters</t>
  </si>
  <si>
    <t>Tarief eerste schijf niet-starters</t>
  </si>
  <si>
    <t>WBSO</t>
  </si>
  <si>
    <t>MKB-winstvrijstelling</t>
  </si>
  <si>
    <t>Startersafrek</t>
  </si>
  <si>
    <t>Zelfstandigenaftrek</t>
  </si>
  <si>
    <t>Zelfstandigen</t>
  </si>
  <si>
    <t>Innovatiebox (d)</t>
  </si>
  <si>
    <t>Verkorten eerste schijf</t>
  </si>
  <si>
    <t>Verlengen eerste schijf</t>
  </si>
  <si>
    <t>Tarief hoogste schijf</t>
  </si>
  <si>
    <t>Tarief eerste schijf</t>
  </si>
  <si>
    <t>VPB</t>
  </si>
  <si>
    <t>verkorten eerste schijf</t>
  </si>
  <si>
    <t>verlengen eerste schijf</t>
  </si>
  <si>
    <t>schijflengte</t>
  </si>
  <si>
    <t xml:space="preserve"> 126.723 en meer</t>
  </si>
  <si>
    <t>0 -  126.723</t>
  </si>
  <si>
    <t>Tariefgroep 2 (overige verkrijgers)</t>
  </si>
  <si>
    <t>Tariefgroep 1a ((achter)kleinkinderen)</t>
  </si>
  <si>
    <t>Tariefgroep 1 (partners en kinderen)</t>
  </si>
  <si>
    <t>tarief</t>
  </si>
  <si>
    <t>Schenk- en erfbelasting</t>
  </si>
  <si>
    <t>Heffingsvrij vermogen verlagen</t>
  </si>
  <si>
    <t>Heffingsvrij vermogen verhogen</t>
  </si>
  <si>
    <t>Belastingtarief</t>
  </si>
  <si>
    <t>Box 3</t>
  </si>
  <si>
    <t>Eigenwoningforfait vanaf  1.060.000</t>
  </si>
  <si>
    <t>Eigenwoningforfait tot  1.060.000</t>
  </si>
  <si>
    <t>Overig</t>
  </si>
  <si>
    <t>Opbouw inkomensafhankelijke combinatiekorting</t>
  </si>
  <si>
    <t>Inkomensafhankelijke combinatiekorting</t>
  </si>
  <si>
    <t>Alleenstaande ouderenkorting</t>
  </si>
  <si>
    <t>Afbouwpercentage ouderenkorting</t>
  </si>
  <si>
    <t>Afbouwpunt ouderenkorting</t>
  </si>
  <si>
    <t>Afbouwpercentage arbeidskorting</t>
  </si>
  <si>
    <t>Afbouwpunt arbeidskorting</t>
  </si>
  <si>
    <t>Algemene heffingskorting</t>
  </si>
  <si>
    <t>Verkorten derde schijf</t>
  </si>
  <si>
    <t>Verkorten tweede schijf</t>
  </si>
  <si>
    <t>Verlengen derde schijf</t>
  </si>
  <si>
    <t>Verlengen tweede schijf</t>
  </si>
  <si>
    <t>Schijflengtes (eindpunt hogere schijfgrenzen schuiven mee)</t>
  </si>
  <si>
    <t>Verlengen tweede schijf (c)</t>
  </si>
  <si>
    <t>Verlengen eerste schijf (b)</t>
  </si>
  <si>
    <t>Schijflengtes (eindpunt hogere schijfgrenzen blijven hetzelfde)</t>
  </si>
  <si>
    <t>Aftrektarief tariefmaatregel</t>
  </si>
  <si>
    <t>Belastingtarief vierde schijf</t>
  </si>
  <si>
    <t>Belastingtarief derde schijf (a)</t>
  </si>
  <si>
    <t>Belastingtarief tweede schijf (a)</t>
  </si>
  <si>
    <t>Belastingtarief eerste schijf (a)</t>
  </si>
  <si>
    <t>Tarief</t>
  </si>
  <si>
    <t>Box 1</t>
  </si>
  <si>
    <t>per eenheid</t>
  </si>
  <si>
    <t>niveau 2020 incl.</t>
  </si>
  <si>
    <t>Deze niveaus kunnen nog wijzigen door o.a. amendementen  van de Tweede Kamer.</t>
  </si>
  <si>
    <t>Bij het niveau is het niveau 2020 opgenomen inclusief het voorgenomen beleid uit het belastingplan 2020.</t>
  </si>
  <si>
    <t>link</t>
  </si>
  <si>
    <t>de CPB-notitie met aanvullende informatie over de KiK 2017 voor een overzicht van de gehanteerde gedragseffecten</t>
  </si>
  <si>
    <t>De sleutels houden daar waar relevant rekening met eerste-ordegedragseffecten. Zie tabel 2.1 uit</t>
  </si>
  <si>
    <t>De sleutels gelden alleen voor de aangegeven mutatie en bij gelijkblijvende overige parameters</t>
  </si>
  <si>
    <t>De sleutels zijn slechts een indicatie van de budgettaire opbrengsten / kosten.</t>
  </si>
  <si>
    <t>maar met omgekeerd teken tenzij apart vermeld. (+ = opbrengst; - = derving). Sleutels zijn niet optelbaar.</t>
  </si>
  <si>
    <t>van een tarief/korting. tenzij anders aangegeven. Verlagen geeft hetzelfde budgettaire effect</t>
  </si>
  <si>
    <t>De sleutels geven het budgettaire effect voor 2020 weer. Aangegeven is het effect van het verhogen</t>
  </si>
  <si>
    <t>Opgelet!</t>
  </si>
  <si>
    <t>SLEUTELTABEL  2020</t>
  </si>
  <si>
    <t>Opbrengst per eenheid (mln)</t>
  </si>
  <si>
    <t>Mutatie</t>
  </si>
  <si>
    <t>maatregelen belastingplan 2020</t>
  </si>
  <si>
    <t>Baten mutatie (mld)</t>
  </si>
  <si>
    <t>Zie tabblad 'Sleuteltabel'</t>
  </si>
  <si>
    <t>http://www.rijksbegroting.nl/2020/voorbereiding/begroting,kst264859_18.html</t>
  </si>
  <si>
    <t>http://www.rijksbegroting.nl/2020/voorbereiding/begroting,kst264859_6.html</t>
  </si>
  <si>
    <t>AOW</t>
  </si>
  <si>
    <t>Bijstand</t>
  </si>
  <si>
    <t>LIV/LKV</t>
  </si>
  <si>
    <t>Integratie-uitkering participatie</t>
  </si>
  <si>
    <t>Uitvoeringskosten(UWV/SVB)</t>
  </si>
  <si>
    <t>De helft van het totaal, http://www.rijksbegroting.nl/2020/voorbereiding/begroting,kst264859_6.html</t>
  </si>
  <si>
    <t>Kinderbijslag en kindgebonden budget</t>
  </si>
  <si>
    <t>(Inkomensondersteuning) AOW</t>
  </si>
  <si>
    <t>Basisinkomen 2.1</t>
  </si>
  <si>
    <t>http://www.rijksbegroting.nl/2020/voorbereiding/begroting,kst264861_46.html</t>
  </si>
  <si>
    <t>http://www.rijksbegroting.nl/2020/kamerstukken,2019/1/1/kst264817_16.html</t>
  </si>
  <si>
    <t>Zorgtoeslag</t>
  </si>
  <si>
    <t>Hypotheekrenteaftrek</t>
  </si>
  <si>
    <t>Studiefinanciering: gedeelte inkomensoverdracht</t>
  </si>
  <si>
    <t>Pagina 82: totaalbedrag inclusief leningen is 5.2 mld.  https://www.google.com/url?sa=t&amp;rct=j&amp;q=&amp;esrc=s&amp;source=web&amp;cd=&amp;ved=2ahUKEwj84svi3oDqAhUC26QKHTK8CzIQFjAAegQIBBAB&amp;url=https%3A%2F%2Fwww.rijksoverheid.nl%2Fbinaries%2Frijksoverheid%2Fdocumenten%2Fbegrotingen%2F2019%2F09%2F17%2Fviii-onderwijs-cultuur-en-wetenschap-rijksbegroting-2020%2F8_Onderwijs_Cultuur_en_Wetenschap_mvt.pdf&amp;usg=AOvVaw1f29fcdCrWZUxnOuHemjAx</t>
  </si>
  <si>
    <t>Vervanging huidige maatregelen</t>
  </si>
  <si>
    <t>Kinderbijslag, kindgebonden budget en zorgtoeslag</t>
  </si>
  <si>
    <t>Eigen woning naar box 3</t>
  </si>
  <si>
    <t>In plaats van Eigenwoningforfait</t>
  </si>
  <si>
    <t>Inkomstenbelasting</t>
  </si>
  <si>
    <t>De waarde van alle eigen woningen minus de hypotheekschulden daarop, keer het in 2020 geldende effectieve tarief, https://www.cbs.nl/nl-nl/cijfers/detail/83834NED</t>
  </si>
  <si>
    <t>Erf- en schenkbelasting: vlak tarief à 40%</t>
  </si>
  <si>
    <t>https://www.clo.nl/indicatoren/nl0001-bevolkingsomvang-en-huishoudens</t>
  </si>
  <si>
    <t>https://www.cbs.nl/nl-nl/nieuws/2014/38/in-2019-helft-van-volwassenen-50-plusser</t>
  </si>
  <si>
    <t>Zie tabblad 'Minderjarige kinderen'</t>
  </si>
  <si>
    <t>Jaarlijks basisinkomen (€)</t>
  </si>
  <si>
    <t>Verhoging belastingen</t>
  </si>
  <si>
    <t>Vermogens-, schenk- en erfbelasting</t>
  </si>
  <si>
    <t>Zelfstandigenaftrek en studiefinanciering</t>
  </si>
  <si>
    <t>Inkomstenbelastingtarieven met 5% omhoog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</si>
</sst>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_([$€-2]\ * #,##0_);_([$€-2]\ * \(#,##0\);_([$€-2]\ * &quot;-&quot;??_);_(@_)"/>
    <numFmt numFmtId="167" formatCode="0.000"/>
    <numFmt numFmtId="168" formatCode="0.0%"/>
    <numFmt numFmtId="169" formatCode="&quot;€&quot;\ #,##0"/>
  </numFmts>
  <fonts count="18" x14ac:knownFonts="1">
    <font>
      <sz val="11"/>
      <color theme="1"/>
      <name val="Calibri"/>
      <family val="2"/>
      <scheme val="minor"/>
    </font>
    <font>
      <b/>
      <sz val="11"/>
      <color theme="1"/>
      <name val="Calibri"/>
      <family val="2"/>
      <scheme val="minor"/>
    </font>
    <font>
      <b/>
      <sz val="8"/>
      <name val="Arial"/>
      <family val="2"/>
    </font>
    <font>
      <sz val="8"/>
      <name val="Arial"/>
      <family val="2"/>
    </font>
    <font>
      <sz val="11"/>
      <name val="Calibri"/>
      <family val="2"/>
      <scheme val="minor"/>
    </font>
    <font>
      <sz val="11"/>
      <color theme="1"/>
      <name val="Calibri"/>
      <family val="2"/>
      <scheme val="minor"/>
    </font>
    <font>
      <u/>
      <sz val="11"/>
      <color theme="10"/>
      <name val="Calibri"/>
      <family val="2"/>
    </font>
    <font>
      <sz val="12.1"/>
      <color rgb="FF000000"/>
      <name val="Verdana"/>
      <family val="2"/>
    </font>
    <font>
      <sz val="8"/>
      <color rgb="FF666666"/>
      <name val="Verdana"/>
      <family val="2"/>
    </font>
    <font>
      <b/>
      <u/>
      <sz val="11"/>
      <color theme="1"/>
      <name val="Calibri"/>
      <family val="2"/>
      <scheme val="minor"/>
    </font>
    <font>
      <i/>
      <sz val="11"/>
      <color theme="1"/>
      <name val="Calibri"/>
      <family val="2"/>
      <scheme val="minor"/>
    </font>
    <font>
      <sz val="10"/>
      <name val="Arial"/>
      <family val="2"/>
    </font>
    <font>
      <sz val="10"/>
      <name val="Arial Bold"/>
      <family val="2"/>
    </font>
    <font>
      <sz val="10"/>
      <name val="Arial Italic"/>
      <family val="2"/>
    </font>
    <font>
      <sz val="9"/>
      <name val="Verdana Bold"/>
      <family val="2"/>
    </font>
    <font>
      <b/>
      <sz val="10"/>
      <name val="Arial"/>
      <family val="2"/>
    </font>
    <font>
      <sz val="10"/>
      <color rgb="FF0000FF"/>
      <name val="Arial"/>
      <family val="2"/>
    </font>
    <font>
      <sz val="14"/>
      <name val="Arial Bold"/>
      <family val="2"/>
    </font>
  </fonts>
  <fills count="5">
    <fill>
      <patternFill patternType="none"/>
    </fill>
    <fill>
      <patternFill patternType="gray125"/>
    </fill>
    <fill>
      <patternFill patternType="solid">
        <fgColor rgb="FFC3DBB6"/>
        <bgColor indexed="64"/>
      </patternFill>
    </fill>
    <fill>
      <patternFill patternType="solid">
        <fgColor rgb="FFE1EDDB"/>
        <bgColor indexed="64"/>
      </patternFill>
    </fill>
    <fill>
      <patternFill patternType="solid">
        <fgColor theme="4" tint="0.59999389629810485"/>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0" fontId="6" fillId="0" borderId="0" applyNumberFormat="0" applyFill="0" applyBorder="0" applyAlignment="0" applyProtection="0">
      <alignment vertical="top"/>
      <protection locked="0"/>
    </xf>
    <xf numFmtId="0" fontId="11" fillId="0" borderId="0"/>
    <xf numFmtId="9" fontId="11" fillId="0" borderId="0" applyFont="0" applyFill="0" applyBorder="0" applyAlignment="0" applyProtection="0"/>
  </cellStyleXfs>
  <cellXfs count="54">
    <xf numFmtId="0" fontId="0" fillId="0" borderId="0" xfId="0"/>
    <xf numFmtId="3" fontId="0" fillId="0" borderId="0" xfId="0" applyNumberFormat="1"/>
    <xf numFmtId="9" fontId="0" fillId="0" borderId="0" xfId="0" applyNumberFormat="1"/>
    <xf numFmtId="0" fontId="1" fillId="0" borderId="0" xfId="0" applyFont="1"/>
    <xf numFmtId="0" fontId="2" fillId="0" borderId="0" xfId="0" applyFont="1"/>
    <xf numFmtId="0" fontId="3" fillId="0" borderId="0" xfId="0" applyFont="1"/>
    <xf numFmtId="3" fontId="0" fillId="0" borderId="0" xfId="0" applyNumberFormat="1" applyFont="1"/>
    <xf numFmtId="0" fontId="4" fillId="0" borderId="0" xfId="0" applyFont="1"/>
    <xf numFmtId="3" fontId="4" fillId="0" borderId="0" xfId="0" applyNumberFormat="1" applyFont="1"/>
    <xf numFmtId="0" fontId="0" fillId="0" borderId="1" xfId="0" applyBorder="1" applyAlignment="1">
      <alignment vertical="center"/>
    </xf>
    <xf numFmtId="4" fontId="0" fillId="0" borderId="0" xfId="0" applyNumberFormat="1"/>
    <xf numFmtId="164" fontId="0" fillId="0" borderId="0" xfId="0" applyNumberFormat="1"/>
    <xf numFmtId="165" fontId="0" fillId="0" borderId="0" xfId="0" applyNumberFormat="1"/>
    <xf numFmtId="0" fontId="6" fillId="0" borderId="0" xfId="2" applyAlignment="1" applyProtection="1"/>
    <xf numFmtId="0" fontId="7" fillId="2" borderId="0" xfId="0" applyFont="1" applyFill="1" applyAlignment="1">
      <alignment horizontal="left" vertical="top" wrapText="1"/>
    </xf>
    <xf numFmtId="0" fontId="7" fillId="2" borderId="0" xfId="0" applyFont="1" applyFill="1" applyAlignment="1">
      <alignment horizontal="right" wrapText="1"/>
    </xf>
    <xf numFmtId="0" fontId="7" fillId="3" borderId="0" xfId="0" applyFont="1" applyFill="1" applyAlignment="1">
      <alignment horizontal="left" vertical="top" wrapText="1"/>
    </xf>
    <xf numFmtId="0" fontId="7" fillId="3" borderId="0" xfId="0" applyFont="1" applyFill="1" applyAlignment="1">
      <alignment horizontal="right" vertical="top" wrapText="1"/>
    </xf>
    <xf numFmtId="0" fontId="8" fillId="3" borderId="0" xfId="0" applyFont="1" applyFill="1" applyAlignment="1">
      <alignment horizontal="left" vertical="top" wrapText="1"/>
    </xf>
    <xf numFmtId="0" fontId="8" fillId="3" borderId="0" xfId="0" applyFont="1" applyFill="1" applyAlignment="1">
      <alignment horizontal="right" vertical="top" wrapText="1"/>
    </xf>
    <xf numFmtId="9" fontId="7" fillId="3" borderId="0" xfId="1" applyFont="1" applyFill="1" applyAlignment="1">
      <alignment horizontal="right" vertical="top" wrapText="1"/>
    </xf>
    <xf numFmtId="0" fontId="9" fillId="0" borderId="0" xfId="0" applyFont="1"/>
    <xf numFmtId="0" fontId="10" fillId="0" borderId="0" xfId="0" applyFont="1"/>
    <xf numFmtId="164" fontId="10" fillId="0" borderId="0" xfId="0" applyNumberFormat="1" applyFont="1"/>
    <xf numFmtId="164" fontId="1" fillId="0" borderId="0" xfId="0" applyNumberFormat="1" applyFont="1"/>
    <xf numFmtId="0" fontId="0" fillId="0" borderId="0" xfId="0" applyNumberFormat="1"/>
    <xf numFmtId="0" fontId="0" fillId="0" borderId="0" xfId="0" applyFont="1" applyAlignment="1">
      <alignment horizontal="right"/>
    </xf>
    <xf numFmtId="0" fontId="0" fillId="0" borderId="0" xfId="0" applyAlignment="1">
      <alignment horizontal="right"/>
    </xf>
    <xf numFmtId="166" fontId="0" fillId="0" borderId="0" xfId="0" applyNumberFormat="1"/>
    <xf numFmtId="0" fontId="11" fillId="0" borderId="0" xfId="3"/>
    <xf numFmtId="1" fontId="11" fillId="0" borderId="0" xfId="3" applyNumberFormat="1"/>
    <xf numFmtId="0" fontId="12" fillId="0" borderId="0" xfId="3" applyFont="1"/>
    <xf numFmtId="9" fontId="11" fillId="0" borderId="0" xfId="3" applyNumberFormat="1"/>
    <xf numFmtId="3" fontId="11" fillId="0" borderId="0" xfId="3" applyNumberFormat="1"/>
    <xf numFmtId="167" fontId="11" fillId="0" borderId="0" xfId="3" applyNumberFormat="1"/>
    <xf numFmtId="10" fontId="11" fillId="0" borderId="0" xfId="3" applyNumberFormat="1"/>
    <xf numFmtId="0" fontId="13" fillId="0" borderId="0" xfId="3" applyFont="1"/>
    <xf numFmtId="0" fontId="14" fillId="0" borderId="0" xfId="3" applyFont="1"/>
    <xf numFmtId="9" fontId="0" fillId="0" borderId="0" xfId="4" applyFont="1"/>
    <xf numFmtId="0" fontId="15" fillId="0" borderId="0" xfId="3" applyFont="1"/>
    <xf numFmtId="0" fontId="16" fillId="0" borderId="0" xfId="3" applyFont="1"/>
    <xf numFmtId="0" fontId="17" fillId="0" borderId="0" xfId="3" applyFont="1"/>
    <xf numFmtId="165" fontId="11" fillId="0" borderId="0" xfId="3" applyNumberFormat="1"/>
    <xf numFmtId="9" fontId="11" fillId="4" borderId="0" xfId="3" applyNumberFormat="1" applyFill="1"/>
    <xf numFmtId="0" fontId="11" fillId="4" borderId="0" xfId="3" applyFill="1"/>
    <xf numFmtId="1" fontId="11" fillId="4" borderId="0" xfId="3" applyNumberFormat="1" applyFill="1"/>
    <xf numFmtId="164" fontId="0" fillId="0" borderId="0" xfId="0" applyNumberFormat="1" applyFill="1" applyBorder="1"/>
    <xf numFmtId="0" fontId="0" fillId="0" borderId="0" xfId="0" applyFont="1"/>
    <xf numFmtId="164" fontId="0" fillId="0" borderId="0" xfId="0" applyNumberFormat="1" applyFont="1"/>
    <xf numFmtId="9" fontId="11" fillId="4" borderId="0" xfId="1" applyFont="1" applyFill="1"/>
    <xf numFmtId="3" fontId="11" fillId="4" borderId="0" xfId="3" applyNumberFormat="1" applyFill="1"/>
    <xf numFmtId="168" fontId="11" fillId="4" borderId="0" xfId="3" applyNumberFormat="1" applyFill="1"/>
    <xf numFmtId="169" fontId="1" fillId="0" borderId="0" xfId="0" applyNumberFormat="1" applyFont="1"/>
    <xf numFmtId="0" fontId="6" fillId="0" borderId="1" xfId="2" applyBorder="1" applyAlignment="1" applyProtection="1">
      <alignment vertical="center"/>
    </xf>
  </cellXfs>
  <cellStyles count="5">
    <cellStyle name="Hyperlink" xfId="2" builtinId="8"/>
    <cellStyle name="Normal" xfId="0" builtinId="0"/>
    <cellStyle name="Normal 2" xfId="3" xr:uid="{2C86FF1B-7B60-427C-A3FD-B37378F03E09}"/>
    <cellStyle name="Percent" xfId="1" builtinId="5"/>
    <cellStyle name="Percent 2" xfId="4" xr:uid="{E61055E3-B940-4A37-98FB-4343EF457C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Financieringsvoorstel basisinkomen 2.1 (€</a:t>
            </a:r>
            <a:r>
              <a:rPr lang="en-US" baseline="0"/>
              <a:t> mld)</a:t>
            </a:r>
            <a:endParaRPr lang="en-US"/>
          </a:p>
          <a:p>
            <a:pPr>
              <a:defRPr/>
            </a:pPr>
            <a:endParaRPr lang="en-US"/>
          </a:p>
        </c:rich>
      </c:tx>
      <c:layout>
        <c:manualLayout>
          <c:xMode val="edge"/>
          <c:yMode val="edge"/>
          <c:x val="0.10300995868339424"/>
          <c:y val="1.17690885567227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2E67-4E1F-B277-E00B2F50F60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E67-4E1F-B277-E00B2F50F60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2E67-4E1F-B277-E00B2F50F60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2E67-4E1F-B277-E00B2F50F60D}"/>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2E67-4E1F-B277-E00B2F50F60D}"/>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2E67-4E1F-B277-E00B2F50F60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2E67-4E1F-B277-E00B2F50F60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2E67-4E1F-B277-E00B2F50F60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2-6056-4F9A-A2E4-C4FFE3FC7C3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6056-4F9A-A2E4-C4FFE3FC7C3D}"/>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6056-4F9A-A2E4-C4FFE3FC7C3D}"/>
              </c:ext>
            </c:extLst>
          </c:dPt>
          <c:dLbls>
            <c:dLbl>
              <c:idx val="0"/>
              <c:layout>
                <c:manualLayout>
                  <c:x val="2.6634444469657431E-2"/>
                  <c:y val="0.2098858812883731"/>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67-4E1F-B277-E00B2F50F60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3-2E67-4E1F-B277-E00B2F50F60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1-2E67-4E1F-B277-E00B2F50F60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5-2E67-4E1F-B277-E00B2F50F60D}"/>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6-2E67-4E1F-B277-E00B2F50F60D}"/>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7-2E67-4E1F-B277-E00B2F50F60D}"/>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8-2E67-4E1F-B277-E00B2F50F60D}"/>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4-2E67-4E1F-B277-E00B2F50F60D}"/>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12-6056-4F9A-A2E4-C4FFE3FC7C3D}"/>
                </c:ext>
              </c:extLst>
            </c:dLbl>
            <c:dLbl>
              <c:idx val="9"/>
              <c:layout>
                <c:manualLayout>
                  <c:x val="3.7438423645320199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056-4F9A-A2E4-C4FFE3FC7C3D}"/>
                </c:ext>
              </c:extLst>
            </c:dLbl>
            <c:dLbl>
              <c:idx val="10"/>
              <c:layout>
                <c:manualLayout>
                  <c:x val="0.14399999999999999"/>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056-4F9A-A2E4-C4FFE3FC7C3D}"/>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Financieringsvoorstel!$A$39:$A$49</c:f>
              <c:strCache>
                <c:ptCount val="11"/>
                <c:pt idx="0">
                  <c:v>Heffingskortingen</c:v>
                </c:pt>
                <c:pt idx="1">
                  <c:v>AOW</c:v>
                </c:pt>
                <c:pt idx="2">
                  <c:v>Kinderbijslag, kindgebonden budget en zorgtoeslag</c:v>
                </c:pt>
                <c:pt idx="3">
                  <c:v>Bijstand &amp; re-integratie</c:v>
                </c:pt>
                <c:pt idx="4">
                  <c:v>Hypotheekrenteaftrek</c:v>
                </c:pt>
                <c:pt idx="5">
                  <c:v>Zelfstandigenaftrek en studiefinanciering</c:v>
                </c:pt>
                <c:pt idx="7">
                  <c:v>Verhoging belastingen</c:v>
                </c:pt>
                <c:pt idx="8">
                  <c:v>Inkomstenbelasting</c:v>
                </c:pt>
                <c:pt idx="9">
                  <c:v>Milieubelastingen</c:v>
                </c:pt>
                <c:pt idx="10">
                  <c:v>Vermogens-, schenk- en erfbelasting</c:v>
                </c:pt>
              </c:strCache>
            </c:strRef>
          </c:cat>
          <c:val>
            <c:numRef>
              <c:f>Financieringsvoorstel!$B$39:$B$49</c:f>
              <c:numCache>
                <c:formatCode>#,##0.0</c:formatCode>
                <c:ptCount val="11"/>
                <c:pt idx="0">
                  <c:v>56.289343000000002</c:v>
                </c:pt>
                <c:pt idx="1">
                  <c:v>40.200000000000003</c:v>
                </c:pt>
                <c:pt idx="2">
                  <c:v>11.5</c:v>
                </c:pt>
                <c:pt idx="3">
                  <c:v>9.85</c:v>
                </c:pt>
                <c:pt idx="4">
                  <c:v>9.5</c:v>
                </c:pt>
                <c:pt idx="5">
                  <c:v>3.6466000000000003</c:v>
                </c:pt>
                <c:pt idx="8">
                  <c:v>19.490000000000002</c:v>
                </c:pt>
                <c:pt idx="9" formatCode="0.0">
                  <c:v>11.546177999999999</c:v>
                </c:pt>
                <c:pt idx="10">
                  <c:v>6.8593000000000011</c:v>
                </c:pt>
              </c:numCache>
            </c:numRef>
          </c:val>
          <c:extLst>
            <c:ext xmlns:c16="http://schemas.microsoft.com/office/drawing/2014/chart" uri="{C3380CC4-5D6E-409C-BE32-E72D297353CC}">
              <c16:uniqueId val="{00000000-2E67-4E1F-B277-E00B2F50F60D}"/>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196850</xdr:colOff>
      <xdr:row>6</xdr:row>
      <xdr:rowOff>136524</xdr:rowOff>
    </xdr:from>
    <xdr:to>
      <xdr:col>1</xdr:col>
      <xdr:colOff>1016000</xdr:colOff>
      <xdr:row>29</xdr:row>
      <xdr:rowOff>76200</xdr:rowOff>
    </xdr:to>
    <xdr:graphicFrame macro="">
      <xdr:nvGraphicFramePr>
        <xdr:cNvPr id="7" name="Chart 6">
          <a:extLst>
            <a:ext uri="{FF2B5EF4-FFF2-40B4-BE49-F238E27FC236}">
              <a16:creationId xmlns:a16="http://schemas.microsoft.com/office/drawing/2014/main" id="{0A304F7F-09CC-4002-AA8A-CFC297A364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jksbegroting.nl/2020/voorbereiding/begroting,kst264859_6.html" TargetMode="External"/><Relationship Id="rId2" Type="http://schemas.openxmlformats.org/officeDocument/2006/relationships/hyperlink" Target="http://www.rijksbegroting.nl/2020/voorbereiding/begroting,kst264859_6.html" TargetMode="External"/><Relationship Id="rId1" Type="http://schemas.openxmlformats.org/officeDocument/2006/relationships/hyperlink" Target="https://www.clo.nl/indicatoren/nl0001-bevolkingsomvang-en-huishoude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9"/>
  <sheetViews>
    <sheetView tabSelected="1" topLeftCell="A4" zoomScaleNormal="100" workbookViewId="0">
      <selection activeCell="A40" sqref="A40"/>
    </sheetView>
  </sheetViews>
  <sheetFormatPr defaultRowHeight="14.5" x14ac:dyDescent="0.35"/>
  <cols>
    <col min="1" max="1" width="80.54296875" customWidth="1"/>
    <col min="2" max="2" width="31.81640625" customWidth="1"/>
    <col min="3" max="3" width="22" customWidth="1"/>
    <col min="4" max="4" width="30.453125" customWidth="1"/>
    <col min="5" max="5" width="14.1796875" customWidth="1"/>
    <col min="6" max="6" width="63" customWidth="1"/>
    <col min="7" max="7" width="16.453125" customWidth="1"/>
    <col min="9" max="9" width="24.7265625" customWidth="1"/>
    <col min="10" max="10" width="20.1796875" customWidth="1"/>
  </cols>
  <sheetData>
    <row r="1" spans="1:3" x14ac:dyDescent="0.35">
      <c r="A1" s="21" t="s">
        <v>196</v>
      </c>
    </row>
    <row r="3" spans="1:3" x14ac:dyDescent="0.35">
      <c r="A3" s="3" t="s">
        <v>51</v>
      </c>
      <c r="B3" s="52">
        <f>SUM(D33:D35)</f>
        <v>167.94</v>
      </c>
      <c r="C3" s="3" t="s">
        <v>52</v>
      </c>
    </row>
    <row r="4" spans="1:3" x14ac:dyDescent="0.35">
      <c r="A4" s="3" t="s">
        <v>54</v>
      </c>
      <c r="B4" s="52">
        <f>B77</f>
        <v>168.88142100000002</v>
      </c>
      <c r="C4" s="3" t="s">
        <v>52</v>
      </c>
    </row>
    <row r="5" spans="1:3" x14ac:dyDescent="0.35">
      <c r="A5" s="3" t="s">
        <v>21</v>
      </c>
      <c r="B5" s="52">
        <f>B4-B3</f>
        <v>0.9414210000000196</v>
      </c>
      <c r="C5" s="3" t="s">
        <v>52</v>
      </c>
    </row>
    <row r="32" spans="1:4" x14ac:dyDescent="0.35">
      <c r="A32" s="21" t="s">
        <v>55</v>
      </c>
      <c r="B32" s="26" t="s">
        <v>53</v>
      </c>
      <c r="C32" s="26" t="s">
        <v>213</v>
      </c>
      <c r="D32" s="26" t="s">
        <v>60</v>
      </c>
    </row>
    <row r="33" spans="1:5" x14ac:dyDescent="0.35">
      <c r="A33" t="s">
        <v>49</v>
      </c>
      <c r="B33" s="12">
        <v>7.9249999999999998</v>
      </c>
      <c r="C33" s="25">
        <v>7200</v>
      </c>
      <c r="D33" s="12">
        <f>(B33*C33)/1000</f>
        <v>57.06</v>
      </c>
      <c r="E33" s="13" t="s">
        <v>210</v>
      </c>
    </row>
    <row r="34" spans="1:5" x14ac:dyDescent="0.35">
      <c r="A34" t="s">
        <v>50</v>
      </c>
      <c r="B34" s="11">
        <v>13.7</v>
      </c>
      <c r="C34" s="25">
        <v>7200</v>
      </c>
      <c r="D34" s="12">
        <f>(B34*C34)/1000</f>
        <v>98.64</v>
      </c>
      <c r="E34" t="s">
        <v>211</v>
      </c>
    </row>
    <row r="35" spans="1:5" x14ac:dyDescent="0.35">
      <c r="A35" t="s">
        <v>61</v>
      </c>
      <c r="B35" s="10">
        <v>3.4</v>
      </c>
      <c r="C35" s="25">
        <v>3600</v>
      </c>
      <c r="D35" s="12">
        <f>(B35*C35)/1000</f>
        <v>12.24</v>
      </c>
      <c r="E35" t="s">
        <v>212</v>
      </c>
    </row>
    <row r="37" spans="1:5" x14ac:dyDescent="0.35">
      <c r="A37" s="3" t="s">
        <v>56</v>
      </c>
      <c r="B37" s="27" t="s">
        <v>60</v>
      </c>
    </row>
    <row r="38" spans="1:5" x14ac:dyDescent="0.35">
      <c r="A38" s="22" t="s">
        <v>203</v>
      </c>
      <c r="B38" s="27"/>
    </row>
    <row r="39" spans="1:5" x14ac:dyDescent="0.35">
      <c r="A39" t="s">
        <v>2</v>
      </c>
      <c r="B39" s="11">
        <f>B55</f>
        <v>56.289343000000002</v>
      </c>
    </row>
    <row r="40" spans="1:5" x14ac:dyDescent="0.35">
      <c r="A40" t="s">
        <v>188</v>
      </c>
      <c r="B40" s="11">
        <f>B56</f>
        <v>40.200000000000003</v>
      </c>
    </row>
    <row r="41" spans="1:5" x14ac:dyDescent="0.35">
      <c r="A41" t="s">
        <v>204</v>
      </c>
      <c r="B41" s="11">
        <f>SUM(B61:B62)</f>
        <v>11.5</v>
      </c>
    </row>
    <row r="42" spans="1:5" x14ac:dyDescent="0.35">
      <c r="A42" t="s">
        <v>57</v>
      </c>
      <c r="B42" s="11">
        <f>SUM(B57:B60)</f>
        <v>9.85</v>
      </c>
    </row>
    <row r="43" spans="1:5" x14ac:dyDescent="0.35">
      <c r="A43" t="s">
        <v>200</v>
      </c>
      <c r="B43" s="11">
        <f>B63</f>
        <v>9.5</v>
      </c>
    </row>
    <row r="44" spans="1:5" x14ac:dyDescent="0.35">
      <c r="A44" t="s">
        <v>216</v>
      </c>
      <c r="B44" s="11">
        <f>SUM(B64:B65)</f>
        <v>3.6466000000000003</v>
      </c>
    </row>
    <row r="45" spans="1:5" x14ac:dyDescent="0.35">
      <c r="B45" s="11"/>
    </row>
    <row r="46" spans="1:5" x14ac:dyDescent="0.35">
      <c r="A46" s="22" t="s">
        <v>214</v>
      </c>
      <c r="B46" s="11"/>
    </row>
    <row r="47" spans="1:5" x14ac:dyDescent="0.35">
      <c r="A47" s="47" t="s">
        <v>207</v>
      </c>
      <c r="B47" s="11">
        <f>B68</f>
        <v>19.490000000000002</v>
      </c>
    </row>
    <row r="48" spans="1:5" x14ac:dyDescent="0.35">
      <c r="A48" t="s">
        <v>58</v>
      </c>
      <c r="B48" s="12">
        <f>SUM(B72:B75)</f>
        <v>11.546177999999999</v>
      </c>
    </row>
    <row r="49" spans="1:10" x14ac:dyDescent="0.35">
      <c r="A49" t="s">
        <v>215</v>
      </c>
      <c r="B49" s="11">
        <f>SUM(B69:B71)</f>
        <v>6.8593000000000011</v>
      </c>
    </row>
    <row r="50" spans="1:10" x14ac:dyDescent="0.35">
      <c r="A50" s="3" t="s">
        <v>5</v>
      </c>
      <c r="B50" s="24">
        <f>SUM(B39:B49)</f>
        <v>168.88142099999999</v>
      </c>
    </row>
    <row r="51" spans="1:10" x14ac:dyDescent="0.35">
      <c r="I51" s="3"/>
      <c r="J51" s="3"/>
    </row>
    <row r="52" spans="1:10" x14ac:dyDescent="0.35">
      <c r="J52" s="28"/>
    </row>
    <row r="53" spans="1:10" x14ac:dyDescent="0.35">
      <c r="A53" s="3" t="s">
        <v>59</v>
      </c>
      <c r="B53" s="3" t="s">
        <v>0</v>
      </c>
      <c r="J53" s="28"/>
    </row>
    <row r="54" spans="1:10" x14ac:dyDescent="0.35">
      <c r="A54" s="22" t="s">
        <v>46</v>
      </c>
      <c r="B54" s="23">
        <f>SUM(B55:B66)</f>
        <v>130.98594300000002</v>
      </c>
      <c r="J54" s="28"/>
    </row>
    <row r="55" spans="1:10" ht="15" thickBot="1" x14ac:dyDescent="0.4">
      <c r="A55" t="s">
        <v>2</v>
      </c>
      <c r="B55" s="1">
        <f>SUM(Sleuteltabel!G43:G52)</f>
        <v>56.289343000000002</v>
      </c>
      <c r="C55" t="s">
        <v>185</v>
      </c>
    </row>
    <row r="56" spans="1:10" ht="15" thickBot="1" x14ac:dyDescent="0.4">
      <c r="A56" t="s">
        <v>195</v>
      </c>
      <c r="B56" s="11">
        <v>40.200000000000003</v>
      </c>
      <c r="C56" s="9" t="s">
        <v>186</v>
      </c>
      <c r="J56" s="28"/>
    </row>
    <row r="57" spans="1:10" ht="15" thickBot="1" x14ac:dyDescent="0.4">
      <c r="A57" t="s">
        <v>189</v>
      </c>
      <c r="B57" s="11">
        <v>6.1</v>
      </c>
      <c r="C57" s="53" t="s">
        <v>187</v>
      </c>
      <c r="J57" s="28"/>
    </row>
    <row r="58" spans="1:10" ht="15" thickBot="1" x14ac:dyDescent="0.4">
      <c r="A58" t="s">
        <v>190</v>
      </c>
      <c r="B58" s="11">
        <v>0.8</v>
      </c>
      <c r="C58" s="53" t="s">
        <v>187</v>
      </c>
      <c r="J58" s="28"/>
    </row>
    <row r="59" spans="1:10" ht="15" thickBot="1" x14ac:dyDescent="0.4">
      <c r="A59" t="s">
        <v>191</v>
      </c>
      <c r="B59" s="11">
        <v>1.9</v>
      </c>
      <c r="C59" s="9" t="s">
        <v>187</v>
      </c>
      <c r="J59" s="28"/>
    </row>
    <row r="60" spans="1:10" ht="15" thickBot="1" x14ac:dyDescent="0.4">
      <c r="A60" t="s">
        <v>192</v>
      </c>
      <c r="B60" s="11">
        <v>1.05</v>
      </c>
      <c r="C60" s="9" t="s">
        <v>193</v>
      </c>
    </row>
    <row r="61" spans="1:10" ht="15" thickBot="1" x14ac:dyDescent="0.4">
      <c r="A61" t="s">
        <v>194</v>
      </c>
      <c r="B61" s="46">
        <v>6.3</v>
      </c>
      <c r="C61" s="9" t="s">
        <v>187</v>
      </c>
      <c r="J61" s="28"/>
    </row>
    <row r="62" spans="1:10" ht="16.5" customHeight="1" thickBot="1" x14ac:dyDescent="0.4">
      <c r="A62" t="s">
        <v>199</v>
      </c>
      <c r="B62" s="11">
        <v>5.2</v>
      </c>
      <c r="C62" s="9" t="s">
        <v>197</v>
      </c>
    </row>
    <row r="63" spans="1:10" ht="15" thickBot="1" x14ac:dyDescent="0.4">
      <c r="A63" t="s">
        <v>200</v>
      </c>
      <c r="B63" s="11">
        <v>9.5</v>
      </c>
      <c r="C63" s="13" t="s">
        <v>198</v>
      </c>
    </row>
    <row r="64" spans="1:10" ht="15" thickBot="1" x14ac:dyDescent="0.4">
      <c r="A64" t="s">
        <v>201</v>
      </c>
      <c r="B64" s="46">
        <v>2.1</v>
      </c>
      <c r="C64" s="9" t="s">
        <v>202</v>
      </c>
      <c r="J64" s="28"/>
    </row>
    <row r="65" spans="1:3" x14ac:dyDescent="0.35">
      <c r="A65" t="s">
        <v>119</v>
      </c>
      <c r="B65" s="11">
        <f>SUM(Sleuteltabel!G82:G84)</f>
        <v>1.5466</v>
      </c>
      <c r="C65" t="s">
        <v>185</v>
      </c>
    </row>
    <row r="66" spans="1:3" x14ac:dyDescent="0.35">
      <c r="B66" s="11"/>
    </row>
    <row r="67" spans="1:3" x14ac:dyDescent="0.35">
      <c r="A67" s="22" t="s">
        <v>214</v>
      </c>
      <c r="B67" s="23">
        <f>SUM(B68:B75)</f>
        <v>37.895477999999997</v>
      </c>
      <c r="C67" s="23"/>
    </row>
    <row r="68" spans="1:3" x14ac:dyDescent="0.35">
      <c r="A68" s="47" t="s">
        <v>217</v>
      </c>
      <c r="B68" s="48">
        <f>SUM(Sleuteltabel!G23:G26)</f>
        <v>19.490000000000002</v>
      </c>
      <c r="C68" s="23"/>
    </row>
    <row r="69" spans="1:3" x14ac:dyDescent="0.35">
      <c r="A69" s="47" t="s">
        <v>205</v>
      </c>
      <c r="B69" s="48">
        <f>608*1.2%</f>
        <v>7.2960000000000003</v>
      </c>
      <c r="C69" s="48" t="s">
        <v>208</v>
      </c>
    </row>
    <row r="70" spans="1:3" x14ac:dyDescent="0.35">
      <c r="A70" s="47" t="s">
        <v>206</v>
      </c>
      <c r="B70" s="48">
        <f>SUM(Sleuteltabel!G54:G55)</f>
        <v>-2.5065</v>
      </c>
      <c r="C70" s="48" t="s">
        <v>185</v>
      </c>
    </row>
    <row r="71" spans="1:3" x14ac:dyDescent="0.35">
      <c r="A71" t="s">
        <v>209</v>
      </c>
      <c r="B71" s="11">
        <f>SUM(Sleuteltabel!G63:G70)</f>
        <v>2.0698000000000003</v>
      </c>
      <c r="C71" t="s">
        <v>185</v>
      </c>
    </row>
    <row r="72" spans="1:3" x14ac:dyDescent="0.35">
      <c r="A72" t="s">
        <v>48</v>
      </c>
      <c r="B72" s="11">
        <f>SUM(Sleuteltabel!G101:G103)</f>
        <v>1.76654</v>
      </c>
      <c r="C72" s="48" t="s">
        <v>185</v>
      </c>
    </row>
    <row r="73" spans="1:3" x14ac:dyDescent="0.35">
      <c r="A73" t="s">
        <v>47</v>
      </c>
      <c r="B73" s="11">
        <f>SUM(Sleuteltabel!G105:G108)</f>
        <v>4.424925</v>
      </c>
      <c r="C73" s="48" t="s">
        <v>185</v>
      </c>
    </row>
    <row r="74" spans="1:3" x14ac:dyDescent="0.35">
      <c r="A74" t="s">
        <v>20</v>
      </c>
      <c r="B74" s="11">
        <f>SUM(Sleuteltabel!G109)</f>
        <v>3.4854400000000001</v>
      </c>
      <c r="C74" s="48" t="s">
        <v>185</v>
      </c>
    </row>
    <row r="75" spans="1:3" x14ac:dyDescent="0.35">
      <c r="A75" t="s">
        <v>19</v>
      </c>
      <c r="B75" s="11">
        <f>Sleuteltabel!G113</f>
        <v>1.869273</v>
      </c>
      <c r="C75" s="48" t="s">
        <v>185</v>
      </c>
    </row>
    <row r="77" spans="1:3" x14ac:dyDescent="0.35">
      <c r="A77" s="3" t="s">
        <v>54</v>
      </c>
      <c r="B77" s="52">
        <f>SUM(B55:B75)-B67</f>
        <v>168.88142100000002</v>
      </c>
      <c r="C77" s="3" t="s">
        <v>52</v>
      </c>
    </row>
    <row r="78" spans="1:3" x14ac:dyDescent="0.35">
      <c r="A78" s="3" t="s">
        <v>51</v>
      </c>
      <c r="B78" s="52">
        <f>B3</f>
        <v>167.94</v>
      </c>
      <c r="C78" s="3" t="s">
        <v>52</v>
      </c>
    </row>
    <row r="79" spans="1:3" x14ac:dyDescent="0.35">
      <c r="A79" s="3" t="s">
        <v>21</v>
      </c>
      <c r="B79" s="52">
        <f>B77-B3</f>
        <v>0.9414210000000196</v>
      </c>
      <c r="C79" s="3" t="s">
        <v>52</v>
      </c>
    </row>
  </sheetData>
  <hyperlinks>
    <hyperlink ref="E33" r:id="rId1" xr:uid="{7802CB68-B594-4574-9315-5C22AF9FE313}"/>
    <hyperlink ref="C58" r:id="rId2" xr:uid="{B2F3AF7F-C489-4A82-A38A-07D8BD3661B2}"/>
    <hyperlink ref="C57" r:id="rId3" xr:uid="{B65D6259-362E-438D-B69F-5713F44D6E6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26D2-D383-4009-8ECB-7D2C8F9A20A3}">
  <dimension ref="A3:G141"/>
  <sheetViews>
    <sheetView topLeftCell="A7" workbookViewId="0">
      <selection activeCell="F23" sqref="F23:F26"/>
    </sheetView>
  </sheetViews>
  <sheetFormatPr defaultRowHeight="12.5" x14ac:dyDescent="0.25"/>
  <cols>
    <col min="1" max="1" width="95.26953125" style="29" bestFit="1" customWidth="1"/>
    <col min="2" max="5" width="8.7265625" style="29"/>
    <col min="6" max="6" width="9" style="29" bestFit="1" customWidth="1"/>
    <col min="7" max="7" width="8.81640625" style="29" bestFit="1" customWidth="1"/>
    <col min="8" max="16384" width="8.7265625" style="29"/>
  </cols>
  <sheetData>
    <row r="3" spans="1:1" ht="18" x14ac:dyDescent="0.4">
      <c r="A3" s="41" t="s">
        <v>180</v>
      </c>
    </row>
    <row r="5" spans="1:1" ht="13" x14ac:dyDescent="0.3">
      <c r="A5" s="31" t="s">
        <v>179</v>
      </c>
    </row>
    <row r="7" spans="1:1" x14ac:dyDescent="0.25">
      <c r="A7" s="29" t="s">
        <v>178</v>
      </c>
    </row>
    <row r="8" spans="1:1" x14ac:dyDescent="0.25">
      <c r="A8" s="29" t="s">
        <v>177</v>
      </c>
    </row>
    <row r="9" spans="1:1" x14ac:dyDescent="0.25">
      <c r="A9" s="29" t="s">
        <v>176</v>
      </c>
    </row>
    <row r="10" spans="1:1" x14ac:dyDescent="0.25">
      <c r="A10" s="29" t="s">
        <v>175</v>
      </c>
    </row>
    <row r="12" spans="1:1" x14ac:dyDescent="0.25">
      <c r="A12" s="29" t="s">
        <v>174</v>
      </c>
    </row>
    <row r="13" spans="1:1" x14ac:dyDescent="0.25">
      <c r="A13" s="29" t="s">
        <v>173</v>
      </c>
    </row>
    <row r="14" spans="1:1" x14ac:dyDescent="0.25">
      <c r="A14" s="29" t="s">
        <v>172</v>
      </c>
    </row>
    <row r="15" spans="1:1" x14ac:dyDescent="0.25">
      <c r="A15" s="40" t="s">
        <v>171</v>
      </c>
    </row>
    <row r="16" spans="1:1" x14ac:dyDescent="0.25">
      <c r="A16" s="29" t="s">
        <v>170</v>
      </c>
    </row>
    <row r="17" spans="1:7" x14ac:dyDescent="0.25">
      <c r="A17" s="29" t="s">
        <v>169</v>
      </c>
    </row>
    <row r="18" spans="1:7" ht="13" x14ac:dyDescent="0.3">
      <c r="A18" s="31" t="s">
        <v>168</v>
      </c>
    </row>
    <row r="19" spans="1:7" ht="13" x14ac:dyDescent="0.3">
      <c r="B19" s="31"/>
      <c r="F19" s="39" t="s">
        <v>182</v>
      </c>
      <c r="G19" s="39" t="s">
        <v>184</v>
      </c>
    </row>
    <row r="20" spans="1:7" ht="13" x14ac:dyDescent="0.3">
      <c r="D20" s="31"/>
      <c r="F20" s="39" t="s">
        <v>5</v>
      </c>
      <c r="G20" s="42">
        <f>SUM(G23:G121)</f>
        <v>88.435421000000005</v>
      </c>
    </row>
    <row r="21" spans="1:7" ht="13" x14ac:dyDescent="0.3">
      <c r="A21" s="31" t="s">
        <v>166</v>
      </c>
    </row>
    <row r="22" spans="1:7" ht="13" x14ac:dyDescent="0.3">
      <c r="A22" s="31" t="s">
        <v>165</v>
      </c>
      <c r="B22" s="31" t="s">
        <v>183</v>
      </c>
      <c r="C22" s="31" t="s">
        <v>167</v>
      </c>
      <c r="D22" s="31" t="s">
        <v>181</v>
      </c>
    </row>
    <row r="23" spans="1:7" ht="14.5" x14ac:dyDescent="0.35">
      <c r="A23" s="29" t="s">
        <v>164</v>
      </c>
      <c r="B23" s="38">
        <v>9.6999999999999989E-2</v>
      </c>
      <c r="C23" s="32">
        <v>0.01</v>
      </c>
      <c r="D23" s="30">
        <v>2142</v>
      </c>
      <c r="F23" s="51">
        <v>0.05</v>
      </c>
      <c r="G23" s="29">
        <f>(0.001*F23/C23)*D23</f>
        <v>10.71</v>
      </c>
    </row>
    <row r="24" spans="1:7" ht="14.5" x14ac:dyDescent="0.35">
      <c r="A24" s="29" t="s">
        <v>163</v>
      </c>
      <c r="B24" s="38">
        <v>9.6999999999999989E-2</v>
      </c>
      <c r="C24" s="32">
        <v>0.01</v>
      </c>
      <c r="D24" s="30">
        <v>856</v>
      </c>
      <c r="F24" s="51">
        <v>0.05</v>
      </c>
      <c r="G24" s="29">
        <f>(0.001*F24/C24)*D24</f>
        <v>4.28</v>
      </c>
    </row>
    <row r="25" spans="1:7" ht="14.5" x14ac:dyDescent="0.35">
      <c r="A25" s="29" t="s">
        <v>162</v>
      </c>
      <c r="B25" s="38">
        <v>0.3735</v>
      </c>
      <c r="C25" s="32">
        <v>0.01</v>
      </c>
      <c r="D25" s="30">
        <v>683</v>
      </c>
      <c r="F25" s="51">
        <v>0.05</v>
      </c>
      <c r="G25" s="29">
        <f>(0.001*F25/C25)*D25</f>
        <v>3.415</v>
      </c>
    </row>
    <row r="26" spans="1:7" ht="14.5" x14ac:dyDescent="0.35">
      <c r="A26" s="29" t="s">
        <v>161</v>
      </c>
      <c r="B26" s="38">
        <v>0.495</v>
      </c>
      <c r="C26" s="32">
        <v>0.01</v>
      </c>
      <c r="D26" s="30">
        <v>217</v>
      </c>
      <c r="F26" s="51">
        <v>0.05</v>
      </c>
      <c r="G26" s="29">
        <f>(0.001*F26/C26)*D26</f>
        <v>1.085</v>
      </c>
    </row>
    <row r="27" spans="1:7" ht="14.5" x14ac:dyDescent="0.35">
      <c r="A27" s="29" t="s">
        <v>160</v>
      </c>
      <c r="B27" s="38">
        <v>0.46</v>
      </c>
      <c r="C27" s="32">
        <v>0.01</v>
      </c>
      <c r="D27" s="30">
        <v>-103</v>
      </c>
      <c r="F27" s="44"/>
      <c r="G27" s="29">
        <f>(0.001*F27/C27)*D27</f>
        <v>0</v>
      </c>
    </row>
    <row r="28" spans="1:7" ht="13" x14ac:dyDescent="0.3">
      <c r="A28" s="31" t="s">
        <v>159</v>
      </c>
      <c r="F28" s="44"/>
    </row>
    <row r="29" spans="1:7" x14ac:dyDescent="0.25">
      <c r="A29" s="29" t="s">
        <v>158</v>
      </c>
      <c r="B29" s="29">
        <v>20711</v>
      </c>
      <c r="C29" s="29">
        <v>1000</v>
      </c>
      <c r="D29" s="30">
        <v>-425</v>
      </c>
      <c r="F29" s="44"/>
      <c r="G29" s="29">
        <f t="shared" ref="G29:G34" si="0">(0.001*F29/C29)*D29</f>
        <v>0</v>
      </c>
    </row>
    <row r="30" spans="1:7" x14ac:dyDescent="0.25">
      <c r="A30" s="29" t="s">
        <v>157</v>
      </c>
      <c r="B30" s="29">
        <v>34712</v>
      </c>
      <c r="C30" s="29">
        <v>1000</v>
      </c>
      <c r="D30" s="30">
        <v>-92</v>
      </c>
      <c r="F30" s="44"/>
      <c r="G30" s="29">
        <f t="shared" si="0"/>
        <v>0</v>
      </c>
    </row>
    <row r="31" spans="1:7" x14ac:dyDescent="0.25">
      <c r="A31" s="29" t="s">
        <v>154</v>
      </c>
      <c r="B31" s="29">
        <v>68507</v>
      </c>
      <c r="C31" s="29">
        <v>1000</v>
      </c>
      <c r="D31" s="30">
        <v>-237</v>
      </c>
      <c r="F31" s="44"/>
      <c r="G31" s="29">
        <f t="shared" si="0"/>
        <v>0</v>
      </c>
    </row>
    <row r="32" spans="1:7" x14ac:dyDescent="0.25">
      <c r="A32" s="29" t="s">
        <v>122</v>
      </c>
      <c r="B32" s="29">
        <v>20711</v>
      </c>
      <c r="C32" s="29">
        <v>1000</v>
      </c>
      <c r="D32" s="30">
        <v>455</v>
      </c>
      <c r="F32" s="44"/>
      <c r="G32" s="29">
        <f t="shared" si="0"/>
        <v>0</v>
      </c>
    </row>
    <row r="33" spans="1:7" x14ac:dyDescent="0.25">
      <c r="A33" s="29" t="s">
        <v>153</v>
      </c>
      <c r="B33" s="29">
        <v>34712</v>
      </c>
      <c r="C33" s="29">
        <v>1000</v>
      </c>
      <c r="D33" s="30">
        <v>100</v>
      </c>
      <c r="F33" s="44"/>
      <c r="G33" s="29">
        <f t="shared" si="0"/>
        <v>0</v>
      </c>
    </row>
    <row r="34" spans="1:7" x14ac:dyDescent="0.25">
      <c r="A34" s="29" t="s">
        <v>152</v>
      </c>
      <c r="B34" s="29">
        <v>68507</v>
      </c>
      <c r="C34" s="29">
        <v>1000</v>
      </c>
      <c r="D34" s="30">
        <v>246</v>
      </c>
      <c r="F34" s="44"/>
      <c r="G34" s="29">
        <f t="shared" si="0"/>
        <v>0</v>
      </c>
    </row>
    <row r="35" spans="1:7" ht="13" x14ac:dyDescent="0.3">
      <c r="A35" s="31" t="s">
        <v>156</v>
      </c>
      <c r="F35" s="44"/>
    </row>
    <row r="36" spans="1:7" x14ac:dyDescent="0.25">
      <c r="A36" s="29" t="s">
        <v>123</v>
      </c>
      <c r="B36" s="29">
        <v>20711</v>
      </c>
      <c r="C36" s="29">
        <v>1000</v>
      </c>
      <c r="D36" s="30">
        <v>-518</v>
      </c>
      <c r="F36" s="44"/>
      <c r="G36" s="29">
        <f t="shared" ref="G36:G41" si="1">(0.001*F36/C36)*D36</f>
        <v>0</v>
      </c>
    </row>
    <row r="37" spans="1:7" x14ac:dyDescent="0.25">
      <c r="A37" s="29" t="s">
        <v>155</v>
      </c>
      <c r="B37" s="29">
        <v>34712</v>
      </c>
      <c r="C37" s="29">
        <v>1000</v>
      </c>
      <c r="D37" s="30">
        <v>-92</v>
      </c>
      <c r="F37" s="44"/>
      <c r="G37" s="29">
        <f t="shared" si="1"/>
        <v>0</v>
      </c>
    </row>
    <row r="38" spans="1:7" x14ac:dyDescent="0.25">
      <c r="A38" s="29" t="s">
        <v>154</v>
      </c>
      <c r="B38" s="29">
        <v>68507</v>
      </c>
      <c r="C38" s="29">
        <v>1000</v>
      </c>
      <c r="D38" s="30">
        <v>-237</v>
      </c>
      <c r="F38" s="44"/>
      <c r="G38" s="29">
        <f t="shared" si="1"/>
        <v>0</v>
      </c>
    </row>
    <row r="39" spans="1:7" x14ac:dyDescent="0.25">
      <c r="A39" s="29" t="s">
        <v>122</v>
      </c>
      <c r="B39" s="29">
        <v>20711</v>
      </c>
      <c r="C39" s="29">
        <v>1000</v>
      </c>
      <c r="D39" s="30">
        <v>554</v>
      </c>
      <c r="F39" s="44"/>
      <c r="G39" s="29">
        <f t="shared" si="1"/>
        <v>0</v>
      </c>
    </row>
    <row r="40" spans="1:7" x14ac:dyDescent="0.25">
      <c r="A40" s="29" t="s">
        <v>153</v>
      </c>
      <c r="B40" s="29">
        <v>34712</v>
      </c>
      <c r="C40" s="29">
        <v>1000</v>
      </c>
      <c r="D40" s="30">
        <v>100</v>
      </c>
      <c r="F40" s="44"/>
      <c r="G40" s="29">
        <f t="shared" si="1"/>
        <v>0</v>
      </c>
    </row>
    <row r="41" spans="1:7" x14ac:dyDescent="0.25">
      <c r="A41" s="29" t="s">
        <v>152</v>
      </c>
      <c r="B41" s="29">
        <v>68507</v>
      </c>
      <c r="C41" s="29">
        <v>1000</v>
      </c>
      <c r="D41" s="30">
        <v>246</v>
      </c>
      <c r="F41" s="44"/>
      <c r="G41" s="29">
        <f t="shared" si="1"/>
        <v>0</v>
      </c>
    </row>
    <row r="42" spans="1:7" ht="13" x14ac:dyDescent="0.3">
      <c r="A42" s="31" t="s">
        <v>2</v>
      </c>
      <c r="F42" s="44"/>
    </row>
    <row r="43" spans="1:7" x14ac:dyDescent="0.25">
      <c r="A43" s="29" t="s">
        <v>151</v>
      </c>
      <c r="B43" s="29">
        <v>2711</v>
      </c>
      <c r="C43" s="29">
        <v>100</v>
      </c>
      <c r="D43" s="30">
        <v>-924</v>
      </c>
      <c r="F43" s="45">
        <f>-B43</f>
        <v>-2711</v>
      </c>
      <c r="G43" s="42">
        <f t="shared" ref="G43:G52" si="2">(0.001*F43/C43)*D43</f>
        <v>25.04964</v>
      </c>
    </row>
    <row r="44" spans="1:7" x14ac:dyDescent="0.25">
      <c r="A44" s="29" t="s">
        <v>3</v>
      </c>
      <c r="B44" s="29">
        <v>3595</v>
      </c>
      <c r="C44" s="29">
        <v>100</v>
      </c>
      <c r="D44" s="30">
        <v>-627</v>
      </c>
      <c r="F44" s="45">
        <f t="shared" ref="F44:F52" si="3">-B44</f>
        <v>-3595</v>
      </c>
      <c r="G44" s="42">
        <f t="shared" si="2"/>
        <v>22.540650000000003</v>
      </c>
    </row>
    <row r="45" spans="1:7" x14ac:dyDescent="0.25">
      <c r="A45" s="29" t="s">
        <v>150</v>
      </c>
      <c r="B45" s="29">
        <v>34989</v>
      </c>
      <c r="C45" s="29">
        <v>1000</v>
      </c>
      <c r="D45" s="30">
        <v>-177</v>
      </c>
      <c r="F45" s="45">
        <f t="shared" si="3"/>
        <v>-34989</v>
      </c>
      <c r="G45" s="42">
        <f t="shared" si="2"/>
        <v>6.1930529999999999</v>
      </c>
    </row>
    <row r="46" spans="1:7" x14ac:dyDescent="0.25">
      <c r="A46" s="29" t="s">
        <v>149</v>
      </c>
      <c r="B46" s="35">
        <v>0.06</v>
      </c>
      <c r="C46" s="32">
        <v>0.01</v>
      </c>
      <c r="D46" s="30">
        <v>539</v>
      </c>
      <c r="F46" s="49">
        <f t="shared" si="3"/>
        <v>-0.06</v>
      </c>
      <c r="G46" s="42">
        <f t="shared" si="2"/>
        <v>-3.234</v>
      </c>
    </row>
    <row r="47" spans="1:7" x14ac:dyDescent="0.25">
      <c r="A47" s="29" t="s">
        <v>4</v>
      </c>
      <c r="B47" s="29">
        <v>1622</v>
      </c>
      <c r="C47" s="29">
        <v>100</v>
      </c>
      <c r="D47" s="30">
        <v>-169</v>
      </c>
      <c r="F47" s="45">
        <f t="shared" si="3"/>
        <v>-1622</v>
      </c>
      <c r="G47" s="42">
        <f t="shared" si="2"/>
        <v>2.7411800000000004</v>
      </c>
    </row>
    <row r="48" spans="1:7" x14ac:dyDescent="0.25">
      <c r="A48" s="29" t="s">
        <v>148</v>
      </c>
      <c r="B48" s="29">
        <v>37372</v>
      </c>
      <c r="C48" s="29">
        <v>1000</v>
      </c>
      <c r="D48" s="30">
        <v>-35</v>
      </c>
      <c r="F48" s="45">
        <f t="shared" si="3"/>
        <v>-37372</v>
      </c>
      <c r="G48" s="42">
        <f t="shared" si="2"/>
        <v>1.3080200000000002</v>
      </c>
    </row>
    <row r="49" spans="1:7" x14ac:dyDescent="0.25">
      <c r="A49" s="29" t="s">
        <v>147</v>
      </c>
      <c r="B49" s="32">
        <v>0.15</v>
      </c>
      <c r="C49" s="32">
        <v>0.01</v>
      </c>
      <c r="D49" s="30">
        <v>11</v>
      </c>
      <c r="F49" s="49">
        <f t="shared" si="3"/>
        <v>-0.15</v>
      </c>
      <c r="G49" s="42">
        <f t="shared" si="2"/>
        <v>-0.16499999999999998</v>
      </c>
    </row>
    <row r="50" spans="1:7" x14ac:dyDescent="0.25">
      <c r="A50" s="29" t="s">
        <v>146</v>
      </c>
      <c r="B50" s="29">
        <v>436</v>
      </c>
      <c r="C50" s="29">
        <v>100</v>
      </c>
      <c r="D50" s="30">
        <v>-95</v>
      </c>
      <c r="F50" s="45">
        <f t="shared" si="3"/>
        <v>-436</v>
      </c>
      <c r="G50" s="42">
        <f t="shared" si="2"/>
        <v>0.41420000000000001</v>
      </c>
    </row>
    <row r="51" spans="1:7" x14ac:dyDescent="0.25">
      <c r="A51" s="29" t="s">
        <v>145</v>
      </c>
      <c r="B51" s="29">
        <v>2881</v>
      </c>
      <c r="C51" s="29">
        <v>100</v>
      </c>
      <c r="D51" s="30">
        <v>-25</v>
      </c>
      <c r="F51" s="45">
        <f t="shared" si="3"/>
        <v>-2881</v>
      </c>
      <c r="G51" s="42">
        <f t="shared" si="2"/>
        <v>0.72025000000000006</v>
      </c>
    </row>
    <row r="52" spans="1:7" x14ac:dyDescent="0.25">
      <c r="A52" s="29" t="s">
        <v>144</v>
      </c>
      <c r="B52" s="35">
        <v>0.1145</v>
      </c>
      <c r="C52" s="32">
        <v>0.01</v>
      </c>
      <c r="D52" s="30">
        <v>-63</v>
      </c>
      <c r="F52" s="49">
        <f t="shared" si="3"/>
        <v>-0.1145</v>
      </c>
      <c r="G52" s="42">
        <f t="shared" si="2"/>
        <v>0.72135000000000005</v>
      </c>
    </row>
    <row r="53" spans="1:7" ht="13" x14ac:dyDescent="0.3">
      <c r="A53" s="31" t="s">
        <v>143</v>
      </c>
      <c r="F53" s="45"/>
      <c r="G53" s="42"/>
    </row>
    <row r="54" spans="1:7" x14ac:dyDescent="0.25">
      <c r="A54" s="29" t="s">
        <v>142</v>
      </c>
      <c r="B54" s="32">
        <v>6.0000000000000001E-3</v>
      </c>
      <c r="C54" s="35">
        <v>5.0000000000000001E-4</v>
      </c>
      <c r="D54" s="30">
        <v>203</v>
      </c>
      <c r="F54" s="49">
        <f>-B54</f>
        <v>-6.0000000000000001E-3</v>
      </c>
      <c r="G54" s="42">
        <f>(0.001*F54/C54)*D54</f>
        <v>-2.4359999999999999</v>
      </c>
    </row>
    <row r="55" spans="1:7" x14ac:dyDescent="0.25">
      <c r="A55" s="29" t="s">
        <v>141</v>
      </c>
      <c r="B55" s="32">
        <v>2.35E-2</v>
      </c>
      <c r="C55" s="35">
        <v>5.0000000000000001E-4</v>
      </c>
      <c r="D55" s="29">
        <v>1.5</v>
      </c>
      <c r="F55" s="49">
        <f>-B55</f>
        <v>-2.35E-2</v>
      </c>
      <c r="G55" s="42">
        <f>(0.001*F55/C55)*D55</f>
        <v>-7.0500000000000007E-2</v>
      </c>
    </row>
    <row r="56" spans="1:7" ht="13" x14ac:dyDescent="0.3">
      <c r="A56" s="31" t="s">
        <v>140</v>
      </c>
      <c r="F56" s="45"/>
      <c r="G56" s="42"/>
    </row>
    <row r="57" spans="1:7" x14ac:dyDescent="0.25">
      <c r="A57" s="29" t="s">
        <v>139</v>
      </c>
      <c r="B57" s="32">
        <v>0.3</v>
      </c>
      <c r="C57" s="32">
        <v>0.01</v>
      </c>
      <c r="D57" s="30">
        <v>148</v>
      </c>
      <c r="F57" s="45"/>
      <c r="G57" s="42">
        <f>(0.001*F57/C57)*D57</f>
        <v>0</v>
      </c>
    </row>
    <row r="58" spans="1:7" x14ac:dyDescent="0.25">
      <c r="A58" s="29" t="s">
        <v>138</v>
      </c>
      <c r="B58" s="29">
        <v>30846</v>
      </c>
      <c r="C58" s="29">
        <v>1000</v>
      </c>
      <c r="D58" s="30">
        <v>-18</v>
      </c>
      <c r="F58" s="45"/>
      <c r="G58" s="42">
        <f>(0.001*F58/C58)*D58</f>
        <v>0</v>
      </c>
    </row>
    <row r="59" spans="1:7" x14ac:dyDescent="0.25">
      <c r="A59" s="29" t="s">
        <v>137</v>
      </c>
      <c r="B59" s="29">
        <v>30846</v>
      </c>
      <c r="C59" s="29">
        <v>1000</v>
      </c>
      <c r="D59" s="30">
        <v>18</v>
      </c>
      <c r="F59" s="45"/>
      <c r="G59" s="42">
        <f>(0.001*F59/C59)*D59</f>
        <v>0</v>
      </c>
    </row>
    <row r="60" spans="1:7" x14ac:dyDescent="0.25">
      <c r="A60" s="37" t="s">
        <v>136</v>
      </c>
      <c r="F60" s="45"/>
      <c r="G60" s="42"/>
    </row>
    <row r="61" spans="1:7" x14ac:dyDescent="0.25">
      <c r="A61" s="37" t="s">
        <v>135</v>
      </c>
      <c r="F61" s="45"/>
      <c r="G61" s="42"/>
    </row>
    <row r="62" spans="1:7" ht="13" x14ac:dyDescent="0.3">
      <c r="A62" s="36" t="s">
        <v>134</v>
      </c>
      <c r="F62" s="45"/>
      <c r="G62" s="42"/>
    </row>
    <row r="63" spans="1:7" x14ac:dyDescent="0.25">
      <c r="A63" s="29" t="s">
        <v>131</v>
      </c>
      <c r="B63" s="32">
        <v>0.1</v>
      </c>
      <c r="C63" s="32">
        <v>0.01</v>
      </c>
      <c r="D63" s="30">
        <v>49</v>
      </c>
      <c r="F63" s="49">
        <f>40%-B63</f>
        <v>0.30000000000000004</v>
      </c>
      <c r="G63" s="42">
        <f>(0.001*F63/C63)*D63</f>
        <v>1.4700000000000002</v>
      </c>
    </row>
    <row r="64" spans="1:7" x14ac:dyDescent="0.25">
      <c r="A64" s="29" t="s">
        <v>130</v>
      </c>
      <c r="B64" s="32">
        <v>0.2</v>
      </c>
      <c r="C64" s="32">
        <v>0.01</v>
      </c>
      <c r="D64" s="30">
        <v>21</v>
      </c>
      <c r="F64" s="49">
        <f t="shared" ref="F64:F69" si="4">40%-B64</f>
        <v>0.2</v>
      </c>
      <c r="G64" s="42">
        <f>(0.001*F64/C64)*D64</f>
        <v>0.42</v>
      </c>
    </row>
    <row r="65" spans="1:7" ht="13" x14ac:dyDescent="0.3">
      <c r="A65" s="36" t="s">
        <v>133</v>
      </c>
      <c r="F65" s="49"/>
      <c r="G65" s="42"/>
    </row>
    <row r="66" spans="1:7" x14ac:dyDescent="0.25">
      <c r="A66" s="29" t="s">
        <v>131</v>
      </c>
      <c r="B66" s="32">
        <v>0.18</v>
      </c>
      <c r="C66" s="32">
        <v>0.01</v>
      </c>
      <c r="D66" s="29">
        <v>1.3</v>
      </c>
      <c r="F66" s="49">
        <f t="shared" si="4"/>
        <v>0.22000000000000003</v>
      </c>
      <c r="G66" s="42">
        <f>(0.001*F66/C66)*D66</f>
        <v>2.8600000000000004E-2</v>
      </c>
    </row>
    <row r="67" spans="1:7" x14ac:dyDescent="0.25">
      <c r="A67" s="29" t="s">
        <v>130</v>
      </c>
      <c r="B67" s="32">
        <v>0.36</v>
      </c>
      <c r="C67" s="32">
        <v>0.01</v>
      </c>
      <c r="D67" s="29">
        <v>0.3</v>
      </c>
      <c r="F67" s="49">
        <f t="shared" si="4"/>
        <v>4.0000000000000036E-2</v>
      </c>
      <c r="G67" s="42">
        <f>(0.001*F67/C67)*D67</f>
        <v>1.200000000000001E-3</v>
      </c>
    </row>
    <row r="68" spans="1:7" ht="13" x14ac:dyDescent="0.3">
      <c r="A68" s="36" t="s">
        <v>132</v>
      </c>
      <c r="F68" s="49"/>
      <c r="G68" s="42"/>
    </row>
    <row r="69" spans="1:7" x14ac:dyDescent="0.25">
      <c r="A69" s="29" t="s">
        <v>131</v>
      </c>
      <c r="B69" s="32">
        <v>0.3</v>
      </c>
      <c r="C69" s="32">
        <v>0.01</v>
      </c>
      <c r="D69" s="30">
        <v>15</v>
      </c>
      <c r="F69" s="49">
        <f t="shared" si="4"/>
        <v>0.10000000000000003</v>
      </c>
      <c r="G69" s="42">
        <f>(0.001*F69/C69)*D69</f>
        <v>0.15000000000000005</v>
      </c>
    </row>
    <row r="70" spans="1:7" x14ac:dyDescent="0.25">
      <c r="A70" s="29" t="s">
        <v>130</v>
      </c>
      <c r="B70" s="32">
        <v>0.4</v>
      </c>
      <c r="C70" s="32">
        <v>0.01</v>
      </c>
      <c r="D70" s="30">
        <v>6</v>
      </c>
      <c r="F70" s="49"/>
      <c r="G70" s="42">
        <f>(0.001*F70/C70)*D70</f>
        <v>0</v>
      </c>
    </row>
    <row r="71" spans="1:7" ht="13" x14ac:dyDescent="0.3">
      <c r="A71" s="31" t="s">
        <v>129</v>
      </c>
      <c r="F71" s="45"/>
      <c r="G71" s="42"/>
    </row>
    <row r="72" spans="1:7" x14ac:dyDescent="0.25">
      <c r="A72" s="29" t="s">
        <v>128</v>
      </c>
      <c r="B72" s="29">
        <v>126723</v>
      </c>
      <c r="C72" s="29">
        <v>10000</v>
      </c>
      <c r="D72" s="30">
        <v>-13</v>
      </c>
      <c r="F72" s="45"/>
      <c r="G72" s="42">
        <f>(0.001*F72/C72)*D72</f>
        <v>0</v>
      </c>
    </row>
    <row r="73" spans="1:7" x14ac:dyDescent="0.25">
      <c r="A73" s="29" t="s">
        <v>127</v>
      </c>
      <c r="B73" s="29">
        <v>126723</v>
      </c>
      <c r="C73" s="29">
        <v>10000</v>
      </c>
      <c r="D73" s="30">
        <v>18</v>
      </c>
      <c r="F73" s="45"/>
      <c r="G73" s="42">
        <f>(0.001*F73/C73)*D73</f>
        <v>0</v>
      </c>
    </row>
    <row r="74" spans="1:7" x14ac:dyDescent="0.25">
      <c r="F74" s="45"/>
      <c r="G74" s="42"/>
    </row>
    <row r="75" spans="1:7" ht="13" x14ac:dyDescent="0.3">
      <c r="A75" s="31" t="s">
        <v>126</v>
      </c>
      <c r="F75" s="45"/>
      <c r="G75" s="42"/>
    </row>
    <row r="76" spans="1:7" x14ac:dyDescent="0.25">
      <c r="A76" s="29" t="s">
        <v>125</v>
      </c>
      <c r="B76" s="35">
        <v>0.19</v>
      </c>
      <c r="C76" s="32">
        <v>0.01</v>
      </c>
      <c r="D76" s="30">
        <v>257</v>
      </c>
      <c r="F76" s="45"/>
      <c r="G76" s="42">
        <f>(0.001*F76/C76)*D76</f>
        <v>0</v>
      </c>
    </row>
    <row r="77" spans="1:7" x14ac:dyDescent="0.25">
      <c r="A77" s="29" t="s">
        <v>124</v>
      </c>
      <c r="B77" s="32">
        <v>0.25</v>
      </c>
      <c r="C77" s="32">
        <v>0.01</v>
      </c>
      <c r="D77" s="30">
        <v>731</v>
      </c>
      <c r="F77" s="45"/>
      <c r="G77" s="42">
        <f>(0.001*F77/C77)*D77</f>
        <v>0</v>
      </c>
    </row>
    <row r="78" spans="1:7" x14ac:dyDescent="0.25">
      <c r="A78" s="29" t="s">
        <v>123</v>
      </c>
      <c r="B78" s="29">
        <v>200000</v>
      </c>
      <c r="C78" s="29">
        <v>10000</v>
      </c>
      <c r="D78" s="30">
        <v>-33</v>
      </c>
      <c r="F78" s="45"/>
      <c r="G78" s="42">
        <f>(0.001*F78/C78)*D78</f>
        <v>0</v>
      </c>
    </row>
    <row r="79" spans="1:7" x14ac:dyDescent="0.25">
      <c r="A79" s="29" t="s">
        <v>122</v>
      </c>
      <c r="B79" s="29">
        <v>200000</v>
      </c>
      <c r="C79" s="29">
        <v>10000</v>
      </c>
      <c r="D79" s="30">
        <v>35</v>
      </c>
      <c r="F79" s="45"/>
      <c r="G79" s="42">
        <f>(0.001*F79/C79)*D79</f>
        <v>0</v>
      </c>
    </row>
    <row r="80" spans="1:7" x14ac:dyDescent="0.25">
      <c r="A80" s="29" t="s">
        <v>121</v>
      </c>
      <c r="B80" s="32">
        <v>7.0000000000000007E-2</v>
      </c>
      <c r="C80" s="32">
        <v>0.01</v>
      </c>
      <c r="D80" s="30">
        <v>70</v>
      </c>
      <c r="F80" s="45"/>
      <c r="G80" s="42">
        <f>(0.001*F80/C80)*D80</f>
        <v>0</v>
      </c>
    </row>
    <row r="81" spans="1:7" ht="13" x14ac:dyDescent="0.3">
      <c r="A81" s="31" t="s">
        <v>120</v>
      </c>
      <c r="F81" s="45"/>
      <c r="G81" s="42"/>
    </row>
    <row r="82" spans="1:7" x14ac:dyDescent="0.25">
      <c r="A82" s="29" t="s">
        <v>119</v>
      </c>
      <c r="B82" s="29">
        <v>7030</v>
      </c>
      <c r="C82" s="29">
        <v>100</v>
      </c>
      <c r="D82" s="30">
        <v>-22</v>
      </c>
      <c r="F82" s="45">
        <f>-B82</f>
        <v>-7030</v>
      </c>
      <c r="G82" s="42">
        <f>(0.001*F82/C82)*D82</f>
        <v>1.5466</v>
      </c>
    </row>
    <row r="83" spans="1:7" x14ac:dyDescent="0.25">
      <c r="A83" s="29" t="s">
        <v>118</v>
      </c>
      <c r="B83" s="29">
        <v>2123</v>
      </c>
      <c r="C83" s="29">
        <v>100</v>
      </c>
      <c r="D83" s="30">
        <v>-5</v>
      </c>
      <c r="F83" s="45"/>
      <c r="G83" s="42">
        <f>(0.001*F83/C83)*D83</f>
        <v>0</v>
      </c>
    </row>
    <row r="84" spans="1:7" x14ac:dyDescent="0.25">
      <c r="A84" s="29" t="s">
        <v>117</v>
      </c>
      <c r="B84" s="32">
        <v>0.14000000000000001</v>
      </c>
      <c r="C84" s="32">
        <v>0.01</v>
      </c>
      <c r="D84" s="30">
        <v>-142</v>
      </c>
      <c r="F84" s="49"/>
      <c r="G84" s="42">
        <f>(0.001*F84/C84)*D84</f>
        <v>0</v>
      </c>
    </row>
    <row r="85" spans="1:7" ht="13" x14ac:dyDescent="0.3">
      <c r="A85" s="31" t="s">
        <v>116</v>
      </c>
      <c r="F85" s="44"/>
    </row>
    <row r="86" spans="1:7" x14ac:dyDescent="0.25">
      <c r="A86" s="29" t="s">
        <v>115</v>
      </c>
      <c r="B86" s="32">
        <v>0.32</v>
      </c>
      <c r="C86" s="32">
        <v>0.01</v>
      </c>
      <c r="D86" s="30">
        <v>18</v>
      </c>
      <c r="F86" s="44"/>
      <c r="G86" s="29">
        <f>(0.001*F86/C86)*D86</f>
        <v>0</v>
      </c>
    </row>
    <row r="87" spans="1:7" x14ac:dyDescent="0.25">
      <c r="A87" s="29" t="s">
        <v>114</v>
      </c>
      <c r="B87" s="32">
        <v>0.4</v>
      </c>
      <c r="C87" s="32">
        <v>0.01</v>
      </c>
      <c r="D87" s="30">
        <v>2</v>
      </c>
      <c r="F87" s="44"/>
      <c r="G87" s="29">
        <f>(0.001*F87/C87)*D87</f>
        <v>0</v>
      </c>
    </row>
    <row r="88" spans="1:7" x14ac:dyDescent="0.25">
      <c r="A88" s="29" t="s">
        <v>113</v>
      </c>
      <c r="B88" s="29">
        <v>350000</v>
      </c>
      <c r="C88" s="29">
        <v>25000</v>
      </c>
      <c r="D88" s="30">
        <v>9</v>
      </c>
      <c r="F88" s="44"/>
      <c r="G88" s="29">
        <f>(0.001*F88/C88)*D88</f>
        <v>0</v>
      </c>
    </row>
    <row r="89" spans="1:7" x14ac:dyDescent="0.25">
      <c r="A89" s="29" t="s">
        <v>112</v>
      </c>
      <c r="B89" s="32">
        <v>0.16</v>
      </c>
      <c r="C89" s="32">
        <v>0.01</v>
      </c>
      <c r="D89" s="30">
        <v>40</v>
      </c>
      <c r="F89" s="44"/>
      <c r="G89" s="29">
        <f>(0.001*F89/C89)*D89</f>
        <v>0</v>
      </c>
    </row>
    <row r="90" spans="1:7" ht="13" x14ac:dyDescent="0.3">
      <c r="A90" s="31" t="s">
        <v>111</v>
      </c>
      <c r="F90" s="44"/>
    </row>
    <row r="91" spans="1:7" x14ac:dyDescent="0.25">
      <c r="A91" s="29" t="s">
        <v>110</v>
      </c>
      <c r="C91" s="32">
        <v>0.01</v>
      </c>
      <c r="D91" s="34">
        <v>1.008</v>
      </c>
      <c r="F91" s="44"/>
      <c r="G91" s="29">
        <f>(0.001*F91/C91)*D91</f>
        <v>0</v>
      </c>
    </row>
    <row r="92" spans="1:7" x14ac:dyDescent="0.25">
      <c r="A92" s="29" t="s">
        <v>109</v>
      </c>
      <c r="B92" s="32">
        <v>0.02</v>
      </c>
      <c r="C92" s="32">
        <v>0.01</v>
      </c>
      <c r="D92" s="30">
        <v>716</v>
      </c>
      <c r="F92" s="44"/>
      <c r="G92" s="29">
        <f>(0.001*F92/C92)*D92</f>
        <v>0</v>
      </c>
    </row>
    <row r="93" spans="1:7" x14ac:dyDescent="0.25">
      <c r="A93" s="29" t="s">
        <v>108</v>
      </c>
      <c r="B93" s="32">
        <v>7.0000000000000007E-2</v>
      </c>
      <c r="C93" s="32">
        <v>0.01</v>
      </c>
      <c r="D93" s="30">
        <v>292</v>
      </c>
      <c r="F93" s="44"/>
      <c r="G93" s="29">
        <f>(0.001*F93/C93)*D93</f>
        <v>0</v>
      </c>
    </row>
    <row r="94" spans="1:7" x14ac:dyDescent="0.25">
      <c r="A94" s="29" t="s">
        <v>107</v>
      </c>
      <c r="B94" s="32">
        <v>0.21</v>
      </c>
      <c r="C94" s="32">
        <v>0.01</v>
      </c>
      <c r="D94" s="30">
        <v>139</v>
      </c>
      <c r="F94" s="44"/>
      <c r="G94" s="29">
        <f>(0.001*F94/C94)*D94</f>
        <v>0</v>
      </c>
    </row>
    <row r="95" spans="1:7" ht="13" x14ac:dyDescent="0.3">
      <c r="A95" s="31" t="s">
        <v>106</v>
      </c>
      <c r="F95" s="44"/>
    </row>
    <row r="96" spans="1:7" x14ac:dyDescent="0.25">
      <c r="A96" s="29" t="s">
        <v>105</v>
      </c>
      <c r="B96" s="32">
        <v>0.21</v>
      </c>
      <c r="C96" s="32">
        <v>0.01</v>
      </c>
      <c r="D96" s="34">
        <v>2.41</v>
      </c>
      <c r="F96" s="44"/>
      <c r="G96" s="29">
        <f>(0.001*F96/C96)*D96</f>
        <v>0</v>
      </c>
    </row>
    <row r="97" spans="1:7" x14ac:dyDescent="0.25">
      <c r="A97" s="29" t="s">
        <v>104</v>
      </c>
      <c r="B97" s="32">
        <v>0.09</v>
      </c>
      <c r="C97" s="32">
        <v>0.01</v>
      </c>
      <c r="D97" s="34">
        <v>1.0289999999999999</v>
      </c>
      <c r="F97" s="44"/>
      <c r="G97" s="29">
        <f>(0.001*F97/C97)*D97</f>
        <v>0</v>
      </c>
    </row>
    <row r="98" spans="1:7" ht="13" x14ac:dyDescent="0.3">
      <c r="A98" s="31" t="s">
        <v>103</v>
      </c>
      <c r="F98" s="44"/>
    </row>
    <row r="99" spans="1:7" x14ac:dyDescent="0.25">
      <c r="A99" s="29" t="s">
        <v>102</v>
      </c>
      <c r="B99" s="29" t="s">
        <v>84</v>
      </c>
      <c r="F99" s="44"/>
    </row>
    <row r="100" spans="1:7" x14ac:dyDescent="0.25">
      <c r="A100" s="29" t="s">
        <v>101</v>
      </c>
      <c r="B100" s="33">
        <v>33.307000000000002</v>
      </c>
      <c r="C100" s="29">
        <v>1</v>
      </c>
      <c r="D100" s="30">
        <v>128</v>
      </c>
      <c r="F100" s="44"/>
      <c r="G100" s="29">
        <f>(0.001*F100/C100)*D100</f>
        <v>0</v>
      </c>
    </row>
    <row r="101" spans="1:7" x14ac:dyDescent="0.25">
      <c r="A101" s="29" t="s">
        <v>100</v>
      </c>
      <c r="B101" s="33">
        <v>6.444</v>
      </c>
      <c r="C101" s="29">
        <v>1</v>
      </c>
      <c r="D101" s="30">
        <v>14</v>
      </c>
      <c r="F101" s="50">
        <f>B$100-B101</f>
        <v>26.863000000000003</v>
      </c>
      <c r="G101" s="42">
        <f>(0.001*F101/C101)*D101</f>
        <v>0.37608200000000008</v>
      </c>
    </row>
    <row r="102" spans="1:7" x14ac:dyDescent="0.25">
      <c r="A102" s="29" t="s">
        <v>99</v>
      </c>
      <c r="B102" s="33">
        <v>2.3479999999999999</v>
      </c>
      <c r="C102" s="29">
        <v>1</v>
      </c>
      <c r="D102" s="30">
        <v>18</v>
      </c>
      <c r="F102" s="50">
        <f t="shared" ref="F102:F103" si="5">B$100-B102</f>
        <v>30.959000000000003</v>
      </c>
      <c r="G102" s="42">
        <f>(0.001*F102/C102)*D102</f>
        <v>0.55726200000000004</v>
      </c>
    </row>
    <row r="103" spans="1:7" x14ac:dyDescent="0.25">
      <c r="A103" s="29" t="s">
        <v>98</v>
      </c>
      <c r="B103" s="33">
        <v>1.2609999999999999</v>
      </c>
      <c r="C103" s="29">
        <v>1</v>
      </c>
      <c r="D103" s="30">
        <v>26</v>
      </c>
      <c r="F103" s="50">
        <f t="shared" si="5"/>
        <v>32.045999999999999</v>
      </c>
      <c r="G103" s="42">
        <f>(0.001*F103/C103)*D103</f>
        <v>0.83319599999999994</v>
      </c>
    </row>
    <row r="104" spans="1:7" x14ac:dyDescent="0.25">
      <c r="A104" s="29" t="s">
        <v>97</v>
      </c>
      <c r="B104" s="29" t="s">
        <v>84</v>
      </c>
      <c r="F104" s="44"/>
      <c r="G104" s="42"/>
    </row>
    <row r="105" spans="1:7" x14ac:dyDescent="0.25">
      <c r="A105" s="29" t="s">
        <v>96</v>
      </c>
      <c r="B105" s="33">
        <v>9.77</v>
      </c>
      <c r="C105" s="29">
        <v>1</v>
      </c>
      <c r="D105" s="30">
        <v>243</v>
      </c>
      <c r="F105" s="50"/>
      <c r="G105" s="42">
        <f t="shared" ref="G105:G110" si="6">(0.001*F105/C105)*D105</f>
        <v>0</v>
      </c>
    </row>
    <row r="106" spans="1:7" x14ac:dyDescent="0.25">
      <c r="A106" s="34" t="s">
        <v>95</v>
      </c>
      <c r="B106" s="33">
        <v>5.0830000000000002</v>
      </c>
      <c r="C106" s="29">
        <v>1</v>
      </c>
      <c r="D106" s="30">
        <v>87</v>
      </c>
      <c r="F106" s="50">
        <f t="shared" ref="F106:F108" si="7">B$105-B106</f>
        <v>4.6869999999999994</v>
      </c>
      <c r="G106" s="42">
        <f t="shared" si="6"/>
        <v>0.40776899999999994</v>
      </c>
    </row>
    <row r="107" spans="1:7" x14ac:dyDescent="0.25">
      <c r="A107" s="29" t="s">
        <v>94</v>
      </c>
      <c r="B107" s="33">
        <v>1.353</v>
      </c>
      <c r="C107" s="29">
        <v>1</v>
      </c>
      <c r="D107" s="30">
        <v>363</v>
      </c>
      <c r="F107" s="50">
        <f t="shared" si="7"/>
        <v>8.4169999999999998</v>
      </c>
      <c r="G107" s="42">
        <f t="shared" si="6"/>
        <v>3.0553709999999996</v>
      </c>
    </row>
    <row r="108" spans="1:7" x14ac:dyDescent="0.25">
      <c r="A108" s="29" t="s">
        <v>93</v>
      </c>
      <c r="B108" s="29">
        <v>5.5E-2</v>
      </c>
      <c r="C108" s="29">
        <v>1</v>
      </c>
      <c r="D108" s="30">
        <v>99</v>
      </c>
      <c r="F108" s="50">
        <f t="shared" si="7"/>
        <v>9.7149999999999999</v>
      </c>
      <c r="G108" s="42">
        <f t="shared" si="6"/>
        <v>0.961785</v>
      </c>
    </row>
    <row r="109" spans="1:7" x14ac:dyDescent="0.25">
      <c r="A109" s="29" t="s">
        <v>92</v>
      </c>
      <c r="B109" s="29">
        <v>435.68</v>
      </c>
      <c r="C109" s="29">
        <v>10</v>
      </c>
      <c r="D109" s="30">
        <v>-80</v>
      </c>
      <c r="F109" s="44">
        <f>-B109</f>
        <v>-435.68</v>
      </c>
      <c r="G109" s="42">
        <f t="shared" si="6"/>
        <v>3.4854400000000001</v>
      </c>
    </row>
    <row r="110" spans="1:7" ht="13" x14ac:dyDescent="0.3">
      <c r="A110" s="31" t="s">
        <v>91</v>
      </c>
      <c r="B110" s="29" t="s">
        <v>90</v>
      </c>
      <c r="C110" s="32">
        <v>0.01</v>
      </c>
      <c r="D110" s="30">
        <v>45</v>
      </c>
      <c r="F110" s="44"/>
      <c r="G110" s="42">
        <f t="shared" si="6"/>
        <v>0</v>
      </c>
    </row>
    <row r="111" spans="1:7" ht="13" x14ac:dyDescent="0.3">
      <c r="A111" s="31" t="s">
        <v>89</v>
      </c>
      <c r="B111" s="29" t="s">
        <v>84</v>
      </c>
      <c r="F111" s="44"/>
      <c r="G111" s="42"/>
    </row>
    <row r="112" spans="1:7" x14ac:dyDescent="0.25">
      <c r="A112" s="29" t="s">
        <v>88</v>
      </c>
      <c r="B112" s="33">
        <v>80.033000000000001</v>
      </c>
      <c r="C112" s="29">
        <v>1</v>
      </c>
      <c r="D112" s="30">
        <v>46</v>
      </c>
      <c r="F112" s="44"/>
      <c r="G112" s="42">
        <f>(0.001*F112/C112)*D112</f>
        <v>0</v>
      </c>
    </row>
    <row r="113" spans="1:7" x14ac:dyDescent="0.25">
      <c r="A113" s="29" t="s">
        <v>87</v>
      </c>
      <c r="B113" s="33">
        <v>50.362000000000002</v>
      </c>
      <c r="C113" s="29">
        <v>1</v>
      </c>
      <c r="D113" s="30">
        <v>63</v>
      </c>
      <c r="F113" s="50">
        <f>B112-B113</f>
        <v>29.670999999999999</v>
      </c>
      <c r="G113" s="42">
        <f>(0.001*F113/C113)*D113</f>
        <v>1.869273</v>
      </c>
    </row>
    <row r="114" spans="1:7" x14ac:dyDescent="0.25">
      <c r="A114" s="29" t="s">
        <v>86</v>
      </c>
      <c r="B114" s="33">
        <v>18.881</v>
      </c>
      <c r="C114" s="29">
        <v>1</v>
      </c>
      <c r="D114" s="30">
        <v>4</v>
      </c>
      <c r="F114" s="44"/>
      <c r="G114" s="29">
        <f>(0.001*F114/C114)*D114</f>
        <v>0</v>
      </c>
    </row>
    <row r="115" spans="1:7" ht="13" x14ac:dyDescent="0.3">
      <c r="A115" s="31" t="s">
        <v>85</v>
      </c>
      <c r="B115" s="29" t="s">
        <v>84</v>
      </c>
      <c r="F115" s="44"/>
    </row>
    <row r="116" spans="1:7" x14ac:dyDescent="0.25">
      <c r="A116" s="29" t="s">
        <v>83</v>
      </c>
      <c r="B116" s="32">
        <v>1</v>
      </c>
      <c r="C116" s="32">
        <v>0.1</v>
      </c>
      <c r="D116" s="30">
        <v>23</v>
      </c>
      <c r="F116" s="43"/>
      <c r="G116" s="29">
        <f>(0.001*F116/C116)*D116</f>
        <v>0</v>
      </c>
    </row>
    <row r="117" spans="1:7" x14ac:dyDescent="0.25">
      <c r="A117" s="29" t="s">
        <v>82</v>
      </c>
      <c r="B117" s="32">
        <v>1</v>
      </c>
      <c r="C117" s="32">
        <v>0.1</v>
      </c>
      <c r="D117" s="30">
        <v>37</v>
      </c>
      <c r="F117" s="43"/>
      <c r="G117" s="29">
        <f>(0.001*F117/C117)*D117</f>
        <v>0</v>
      </c>
    </row>
    <row r="118" spans="1:7" x14ac:dyDescent="0.25">
      <c r="A118" s="29" t="s">
        <v>81</v>
      </c>
      <c r="B118" s="32">
        <v>1</v>
      </c>
      <c r="C118" s="32">
        <v>0.1</v>
      </c>
      <c r="D118" s="30">
        <v>29</v>
      </c>
      <c r="F118" s="43"/>
      <c r="G118" s="29">
        <f>(0.001*F118/C118)*D118</f>
        <v>0</v>
      </c>
    </row>
    <row r="119" spans="1:7" ht="13" x14ac:dyDescent="0.3">
      <c r="A119" s="31" t="s">
        <v>80</v>
      </c>
      <c r="F119" s="44"/>
    </row>
    <row r="120" spans="1:7" x14ac:dyDescent="0.25">
      <c r="A120" s="29" t="s">
        <v>79</v>
      </c>
      <c r="B120" s="29">
        <v>4.7699999999999996</v>
      </c>
      <c r="C120" s="29">
        <v>0.05</v>
      </c>
      <c r="D120" s="30">
        <v>12</v>
      </c>
      <c r="F120" s="44"/>
      <c r="G120" s="29">
        <f>(0.001*F120/C120)*D120</f>
        <v>0</v>
      </c>
    </row>
    <row r="121" spans="1:7" x14ac:dyDescent="0.25">
      <c r="A121" s="29" t="s">
        <v>78</v>
      </c>
      <c r="B121" s="29">
        <v>3.97</v>
      </c>
      <c r="C121" s="29">
        <v>0.05</v>
      </c>
      <c r="D121" s="30">
        <v>5</v>
      </c>
      <c r="F121" s="44"/>
      <c r="G121" s="29">
        <f>(0.001*F121/C121)*D121</f>
        <v>0</v>
      </c>
    </row>
    <row r="123" spans="1:7" x14ac:dyDescent="0.25">
      <c r="A123" s="29" t="s">
        <v>77</v>
      </c>
    </row>
    <row r="124" spans="1:7" x14ac:dyDescent="0.25">
      <c r="A124" s="29" t="s">
        <v>76</v>
      </c>
    </row>
    <row r="125" spans="1:7" x14ac:dyDescent="0.25">
      <c r="A125" s="29" t="s">
        <v>75</v>
      </c>
    </row>
    <row r="126" spans="1:7" x14ac:dyDescent="0.25">
      <c r="A126" s="29" t="s">
        <v>74</v>
      </c>
    </row>
    <row r="127" spans="1:7" x14ac:dyDescent="0.25">
      <c r="A127" s="29" t="s">
        <v>73</v>
      </c>
    </row>
    <row r="129" spans="1:1" x14ac:dyDescent="0.25">
      <c r="A129" s="29" t="s">
        <v>72</v>
      </c>
    </row>
    <row r="130" spans="1:1" x14ac:dyDescent="0.25">
      <c r="A130" s="29" t="s">
        <v>71</v>
      </c>
    </row>
    <row r="131" spans="1:1" x14ac:dyDescent="0.25">
      <c r="A131" s="29" t="s">
        <v>70</v>
      </c>
    </row>
    <row r="132" spans="1:1" x14ac:dyDescent="0.25">
      <c r="A132" s="29" t="s">
        <v>69</v>
      </c>
    </row>
    <row r="133" spans="1:1" x14ac:dyDescent="0.25">
      <c r="A133" s="29" t="s">
        <v>68</v>
      </c>
    </row>
    <row r="134" spans="1:1" x14ac:dyDescent="0.25">
      <c r="A134" s="29" t="s">
        <v>67</v>
      </c>
    </row>
    <row r="136" spans="1:1" x14ac:dyDescent="0.25">
      <c r="A136" s="29" t="s">
        <v>66</v>
      </c>
    </row>
    <row r="137" spans="1:1" x14ac:dyDescent="0.25">
      <c r="A137" s="29" t="s">
        <v>65</v>
      </c>
    </row>
    <row r="138" spans="1:1" x14ac:dyDescent="0.25">
      <c r="A138" s="29" t="s">
        <v>64</v>
      </c>
    </row>
    <row r="139" spans="1:1" x14ac:dyDescent="0.25">
      <c r="A139" s="29" t="s">
        <v>63</v>
      </c>
    </row>
    <row r="141" spans="1:1" x14ac:dyDescent="0.25">
      <c r="A141" s="29" t="s">
        <v>62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
  <sheetViews>
    <sheetView workbookViewId="0"/>
  </sheetViews>
  <sheetFormatPr defaultRowHeight="14.5" x14ac:dyDescent="0.35"/>
  <cols>
    <col min="1" max="1" width="18.1796875" customWidth="1"/>
    <col min="7" max="7" width="20.1796875" customWidth="1"/>
    <col min="8" max="8" width="18.7265625" customWidth="1"/>
    <col min="9" max="9" width="18.1796875" customWidth="1"/>
    <col min="10" max="10" width="18" customWidth="1"/>
  </cols>
  <sheetData>
    <row r="1" spans="1:10" x14ac:dyDescent="0.35">
      <c r="A1" t="s">
        <v>18</v>
      </c>
    </row>
    <row r="4" spans="1:10" x14ac:dyDescent="0.35">
      <c r="A4" t="s">
        <v>6</v>
      </c>
    </row>
    <row r="6" spans="1:10" x14ac:dyDescent="0.35">
      <c r="B6">
        <v>1980</v>
      </c>
      <c r="C6">
        <f>B6+5</f>
        <v>1985</v>
      </c>
      <c r="D6">
        <f>C6+5</f>
        <v>1990</v>
      </c>
      <c r="E6">
        <f>D6+5</f>
        <v>1995</v>
      </c>
      <c r="F6">
        <f>E6+5</f>
        <v>2000</v>
      </c>
      <c r="G6" t="s">
        <v>12</v>
      </c>
      <c r="H6" t="s">
        <v>14</v>
      </c>
      <c r="I6" t="s">
        <v>13</v>
      </c>
      <c r="J6" t="s">
        <v>15</v>
      </c>
    </row>
    <row r="7" spans="1:10" x14ac:dyDescent="0.35">
      <c r="A7" t="s">
        <v>7</v>
      </c>
      <c r="C7">
        <v>0.6</v>
      </c>
      <c r="D7">
        <v>0.5</v>
      </c>
      <c r="E7">
        <v>0.2</v>
      </c>
      <c r="F7">
        <v>0.5</v>
      </c>
      <c r="G7">
        <v>0.6</v>
      </c>
      <c r="H7">
        <f>AVERAGE(B7:G7)</f>
        <v>0.48</v>
      </c>
      <c r="I7">
        <v>31</v>
      </c>
      <c r="J7">
        <f>H7*(I7/I$12)</f>
        <v>4.8947368421052628E-2</v>
      </c>
    </row>
    <row r="8" spans="1:10" x14ac:dyDescent="0.35">
      <c r="A8" t="s">
        <v>8</v>
      </c>
      <c r="B8">
        <v>5.3</v>
      </c>
      <c r="C8">
        <v>3.9</v>
      </c>
      <c r="D8">
        <v>4.8</v>
      </c>
      <c r="E8">
        <v>3.5</v>
      </c>
      <c r="F8">
        <v>2.9</v>
      </c>
      <c r="G8">
        <v>2.5</v>
      </c>
      <c r="H8">
        <f>AVERAGE(B8:G8)</f>
        <v>3.8166666666666664</v>
      </c>
      <c r="I8">
        <v>149</v>
      </c>
      <c r="J8">
        <f>H8*(I8/I$12)</f>
        <v>1.8706688596491228</v>
      </c>
    </row>
    <row r="9" spans="1:10" x14ac:dyDescent="0.35">
      <c r="A9" t="s">
        <v>9</v>
      </c>
      <c r="B9">
        <v>7.4</v>
      </c>
      <c r="C9">
        <v>5.9</v>
      </c>
      <c r="D9">
        <v>6.1</v>
      </c>
      <c r="E9">
        <v>3.3</v>
      </c>
      <c r="F9">
        <v>3.6</v>
      </c>
      <c r="G9">
        <v>3.9</v>
      </c>
      <c r="H9">
        <f>AVERAGE(B9:G9)</f>
        <v>5.0333333333333332</v>
      </c>
      <c r="I9">
        <v>28</v>
      </c>
      <c r="J9">
        <f>H9*(I9/I$12)</f>
        <v>0.46359649122807012</v>
      </c>
    </row>
    <row r="10" spans="1:10" x14ac:dyDescent="0.35">
      <c r="A10" t="s">
        <v>10</v>
      </c>
      <c r="B10">
        <v>9</v>
      </c>
      <c r="C10">
        <v>7</v>
      </c>
      <c r="D10">
        <v>7.4</v>
      </c>
      <c r="E10">
        <v>5.3</v>
      </c>
      <c r="F10">
        <v>4.3</v>
      </c>
      <c r="G10">
        <v>3.8</v>
      </c>
      <c r="H10">
        <f>AVERAGE(B10:G10)</f>
        <v>6.1333333333333329</v>
      </c>
      <c r="I10">
        <v>20</v>
      </c>
      <c r="J10">
        <f>H10*(I10/I$12)</f>
        <v>0.40350877192982448</v>
      </c>
    </row>
    <row r="11" spans="1:10" x14ac:dyDescent="0.35">
      <c r="A11" t="s">
        <v>11</v>
      </c>
      <c r="B11">
        <v>27.6</v>
      </c>
      <c r="C11">
        <v>6.1</v>
      </c>
      <c r="D11">
        <v>18.3</v>
      </c>
      <c r="E11">
        <v>26</v>
      </c>
      <c r="F11">
        <v>-3.3</v>
      </c>
      <c r="G11">
        <v>0.8</v>
      </c>
      <c r="H11">
        <f>AVERAGE(B11:G11)</f>
        <v>12.583333333333334</v>
      </c>
      <c r="I11">
        <v>76</v>
      </c>
      <c r="J11">
        <f>H11*(I11/I$12)</f>
        <v>3.1458333333333335</v>
      </c>
    </row>
    <row r="12" spans="1:10" x14ac:dyDescent="0.35">
      <c r="A12" t="s">
        <v>1</v>
      </c>
      <c r="I12">
        <f>SUM(I6:I11)</f>
        <v>304</v>
      </c>
      <c r="J12" s="3">
        <f>SUM(J7:J11)</f>
        <v>5.9325548245614037</v>
      </c>
    </row>
    <row r="15" spans="1:10" x14ac:dyDescent="0.35">
      <c r="C15" s="4"/>
    </row>
    <row r="16" spans="1:10" x14ac:dyDescent="0.35">
      <c r="C16" s="4"/>
    </row>
    <row r="17" spans="1:3" x14ac:dyDescent="0.35">
      <c r="A17" t="s">
        <v>16</v>
      </c>
      <c r="B17" t="s">
        <v>17</v>
      </c>
      <c r="C17" s="5"/>
    </row>
    <row r="18" spans="1:3" x14ac:dyDescent="0.35">
      <c r="A18" s="7">
        <v>1980</v>
      </c>
      <c r="B18" s="6">
        <v>72600</v>
      </c>
      <c r="C18" s="5"/>
    </row>
    <row r="19" spans="1:3" x14ac:dyDescent="0.35">
      <c r="A19" s="7">
        <v>1981</v>
      </c>
      <c r="B19" s="8">
        <v>64900</v>
      </c>
      <c r="C19" s="5"/>
    </row>
    <row r="20" spans="1:3" x14ac:dyDescent="0.35">
      <c r="A20" s="7">
        <v>1982</v>
      </c>
      <c r="B20" s="8">
        <v>59200</v>
      </c>
      <c r="C20" s="5"/>
    </row>
    <row r="21" spans="1:3" x14ac:dyDescent="0.35">
      <c r="A21" s="7">
        <v>1983</v>
      </c>
      <c r="B21" s="8">
        <v>60900</v>
      </c>
      <c r="C21" s="5"/>
    </row>
    <row r="22" spans="1:3" x14ac:dyDescent="0.35">
      <c r="A22" s="7">
        <v>1984</v>
      </c>
      <c r="B22" s="8">
        <v>60300</v>
      </c>
      <c r="C22" s="5"/>
    </row>
    <row r="23" spans="1:3" x14ac:dyDescent="0.35">
      <c r="A23" s="7">
        <v>1985</v>
      </c>
      <c r="B23" s="8">
        <v>60300</v>
      </c>
      <c r="C23" s="5"/>
    </row>
    <row r="24" spans="1:3" x14ac:dyDescent="0.35">
      <c r="A24" s="7">
        <v>1986</v>
      </c>
      <c r="B24" s="8">
        <v>63000</v>
      </c>
      <c r="C24" s="5"/>
    </row>
    <row r="25" spans="1:3" x14ac:dyDescent="0.35">
      <c r="A25" s="7">
        <v>1987</v>
      </c>
      <c r="B25" s="8">
        <v>65300</v>
      </c>
      <c r="C25" s="5"/>
    </row>
    <row r="26" spans="1:3" x14ac:dyDescent="0.35">
      <c r="A26" s="7">
        <v>1988</v>
      </c>
      <c r="B26" s="8">
        <v>68200</v>
      </c>
      <c r="C26" s="5"/>
    </row>
    <row r="27" spans="1:3" x14ac:dyDescent="0.35">
      <c r="A27" s="7">
        <v>1989</v>
      </c>
      <c r="B27" s="8">
        <v>72400</v>
      </c>
      <c r="C27" s="5"/>
    </row>
    <row r="28" spans="1:3" x14ac:dyDescent="0.35">
      <c r="A28" s="7">
        <v>1990</v>
      </c>
      <c r="B28" s="8">
        <v>73900</v>
      </c>
      <c r="C28" s="5"/>
    </row>
    <row r="29" spans="1:3" x14ac:dyDescent="0.35">
      <c r="A29" s="7">
        <v>1991</v>
      </c>
      <c r="B29" s="8">
        <v>75800</v>
      </c>
      <c r="C29" s="5"/>
    </row>
    <row r="30" spans="1:3" x14ac:dyDescent="0.35">
      <c r="A30" s="7">
        <v>1992</v>
      </c>
      <c r="B30" s="8">
        <v>82200</v>
      </c>
      <c r="C30" s="5"/>
    </row>
    <row r="31" spans="1:3" x14ac:dyDescent="0.35">
      <c r="A31" s="7">
        <v>1993</v>
      </c>
      <c r="B31" s="8">
        <v>90800</v>
      </c>
      <c r="C31" s="5"/>
    </row>
    <row r="32" spans="1:3" x14ac:dyDescent="0.35">
      <c r="A32" s="7">
        <v>1994</v>
      </c>
      <c r="B32" s="8">
        <v>98400</v>
      </c>
      <c r="C32" s="5"/>
    </row>
    <row r="33" spans="1:3" x14ac:dyDescent="0.35">
      <c r="A33" s="7">
        <v>1995</v>
      </c>
      <c r="B33" s="8">
        <v>102400</v>
      </c>
      <c r="C33" s="5"/>
    </row>
    <row r="34" spans="1:3" x14ac:dyDescent="0.35">
      <c r="A34" s="7">
        <v>1996</v>
      </c>
      <c r="B34" s="8">
        <v>112700</v>
      </c>
      <c r="C34" s="5"/>
    </row>
    <row r="35" spans="1:3" x14ac:dyDescent="0.35">
      <c r="A35" s="7">
        <v>1997</v>
      </c>
      <c r="B35" s="8">
        <v>122600</v>
      </c>
      <c r="C35" s="2"/>
    </row>
    <row r="36" spans="1:3" x14ac:dyDescent="0.35">
      <c r="A36" s="7">
        <v>1998</v>
      </c>
      <c r="B36" s="8">
        <v>132900</v>
      </c>
    </row>
    <row r="37" spans="1:3" x14ac:dyDescent="0.35">
      <c r="A37" s="7">
        <v>1999</v>
      </c>
      <c r="B37" s="8">
        <v>156900</v>
      </c>
    </row>
    <row r="38" spans="1:3" x14ac:dyDescent="0.35">
      <c r="A38" s="7">
        <v>2000</v>
      </c>
      <c r="B38" s="8">
        <v>180600</v>
      </c>
    </row>
    <row r="39" spans="1:3" x14ac:dyDescent="0.35">
      <c r="A39">
        <v>2001</v>
      </c>
      <c r="B39" s="1">
        <v>194000</v>
      </c>
    </row>
    <row r="40" spans="1:3" x14ac:dyDescent="0.35">
      <c r="A40">
        <v>2002</v>
      </c>
      <c r="B40" s="1">
        <v>204000</v>
      </c>
    </row>
    <row r="41" spans="1:3" x14ac:dyDescent="0.35">
      <c r="A41">
        <v>2003</v>
      </c>
      <c r="B41" s="1">
        <v>207400</v>
      </c>
    </row>
    <row r="42" spans="1:3" x14ac:dyDescent="0.35">
      <c r="A42">
        <v>2004</v>
      </c>
      <c r="B42" s="1">
        <v>214900</v>
      </c>
    </row>
    <row r="43" spans="1:3" x14ac:dyDescent="0.35">
      <c r="A43">
        <v>2005</v>
      </c>
      <c r="B43" s="1">
        <v>224000</v>
      </c>
    </row>
    <row r="44" spans="1:3" x14ac:dyDescent="0.35">
      <c r="A44">
        <v>2006</v>
      </c>
      <c r="B44" s="1">
        <v>235200</v>
      </c>
    </row>
    <row r="45" spans="1:3" x14ac:dyDescent="0.35">
      <c r="A45">
        <v>2007</v>
      </c>
      <c r="B45" s="1">
        <v>243600</v>
      </c>
    </row>
    <row r="46" spans="1:3" x14ac:dyDescent="0.35">
      <c r="A46">
        <v>2008</v>
      </c>
      <c r="B46" s="1">
        <v>243400</v>
      </c>
    </row>
    <row r="47" spans="1:3" x14ac:dyDescent="0.35">
      <c r="A47">
        <v>2009</v>
      </c>
      <c r="B47" s="1">
        <v>225300</v>
      </c>
    </row>
    <row r="48" spans="1:3" x14ac:dyDescent="0.35">
      <c r="A48">
        <v>2010</v>
      </c>
      <c r="B48" s="1">
        <v>233200</v>
      </c>
    </row>
    <row r="49" spans="2:2" x14ac:dyDescent="0.35">
      <c r="B49" s="1">
        <f>(B48/B18)^(1/30)</f>
        <v>1.0396641390293284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6"/>
  <sheetViews>
    <sheetView workbookViewId="0">
      <selection activeCell="C6" sqref="C6"/>
    </sheetView>
  </sheetViews>
  <sheetFormatPr defaultRowHeight="14.5" x14ac:dyDescent="0.35"/>
  <cols>
    <col min="1" max="1" width="61" bestFit="1" customWidth="1"/>
    <col min="2" max="2" width="22.81640625" bestFit="1" customWidth="1"/>
    <col min="3" max="3" width="23.54296875" bestFit="1" customWidth="1"/>
    <col min="4" max="4" width="15.453125" customWidth="1"/>
  </cols>
  <sheetData>
    <row r="1" spans="1:5" x14ac:dyDescent="0.35">
      <c r="A1" t="s">
        <v>24</v>
      </c>
    </row>
    <row r="4" spans="1:5" ht="30.5" x14ac:dyDescent="0.35">
      <c r="A4" s="14" t="s">
        <v>25</v>
      </c>
      <c r="B4" s="15" t="s">
        <v>26</v>
      </c>
      <c r="C4" s="15" t="s">
        <v>22</v>
      </c>
      <c r="D4" s="15" t="s">
        <v>23</v>
      </c>
      <c r="E4" s="15"/>
    </row>
    <row r="5" spans="1:5" ht="15" x14ac:dyDescent="0.35">
      <c r="A5" s="16" t="s">
        <v>27</v>
      </c>
      <c r="B5" s="17">
        <v>24077</v>
      </c>
      <c r="C5" s="20">
        <v>0.05</v>
      </c>
      <c r="D5">
        <f>B5*C5/10^3</f>
        <v>1.2038500000000001</v>
      </c>
    </row>
    <row r="6" spans="1:5" ht="15" x14ac:dyDescent="0.35">
      <c r="A6" s="16" t="s">
        <v>28</v>
      </c>
      <c r="B6" s="17">
        <v>16396</v>
      </c>
      <c r="C6" s="20">
        <v>0.1</v>
      </c>
      <c r="D6">
        <f t="shared" ref="D6:D15" si="0">B6*C6/10^3</f>
        <v>1.6396000000000002</v>
      </c>
    </row>
    <row r="7" spans="1:5" ht="15" x14ac:dyDescent="0.35">
      <c r="A7" s="16" t="s">
        <v>29</v>
      </c>
      <c r="B7" s="17">
        <v>10352</v>
      </c>
      <c r="C7" s="20">
        <v>0.15</v>
      </c>
      <c r="D7">
        <f t="shared" si="0"/>
        <v>1.5528</v>
      </c>
    </row>
    <row r="8" spans="1:5" ht="15" x14ac:dyDescent="0.35">
      <c r="A8" s="16" t="s">
        <v>30</v>
      </c>
      <c r="B8" s="17">
        <v>9040</v>
      </c>
      <c r="C8" s="20">
        <v>0</v>
      </c>
      <c r="D8">
        <f t="shared" si="0"/>
        <v>0</v>
      </c>
    </row>
    <row r="9" spans="1:5" ht="15" x14ac:dyDescent="0.35">
      <c r="A9" s="16" t="s">
        <v>31</v>
      </c>
      <c r="B9" s="17">
        <v>8537</v>
      </c>
      <c r="C9" s="20">
        <v>0</v>
      </c>
      <c r="D9">
        <f t="shared" si="0"/>
        <v>0</v>
      </c>
    </row>
    <row r="10" spans="1:5" ht="15" x14ac:dyDescent="0.35">
      <c r="A10" s="16" t="s">
        <v>32</v>
      </c>
      <c r="B10" s="17">
        <v>7584</v>
      </c>
      <c r="C10" s="20">
        <v>0.05</v>
      </c>
      <c r="D10">
        <f t="shared" si="0"/>
        <v>0.37920000000000004</v>
      </c>
    </row>
    <row r="11" spans="1:5" ht="15" x14ac:dyDescent="0.35">
      <c r="A11" s="16" t="s">
        <v>33</v>
      </c>
      <c r="B11" s="17">
        <v>5665</v>
      </c>
      <c r="C11" s="20">
        <v>0.15</v>
      </c>
      <c r="D11">
        <f t="shared" si="0"/>
        <v>0.84975000000000001</v>
      </c>
    </row>
    <row r="12" spans="1:5" ht="15" x14ac:dyDescent="0.35">
      <c r="A12" s="16" t="s">
        <v>34</v>
      </c>
      <c r="B12" s="17">
        <v>3195</v>
      </c>
      <c r="C12" s="20">
        <v>0</v>
      </c>
      <c r="D12">
        <f t="shared" si="0"/>
        <v>0</v>
      </c>
    </row>
    <row r="13" spans="1:5" ht="15" x14ac:dyDescent="0.35">
      <c r="A13" s="16" t="s">
        <v>35</v>
      </c>
      <c r="B13" s="17">
        <v>2959</v>
      </c>
      <c r="C13" s="20">
        <v>0</v>
      </c>
      <c r="D13">
        <f t="shared" si="0"/>
        <v>0</v>
      </c>
    </row>
    <row r="14" spans="1:5" ht="15" x14ac:dyDescent="0.35">
      <c r="A14" s="16" t="s">
        <v>36</v>
      </c>
      <c r="B14" s="17">
        <v>1068</v>
      </c>
      <c r="C14" s="20">
        <v>0</v>
      </c>
      <c r="D14">
        <f t="shared" si="0"/>
        <v>0</v>
      </c>
    </row>
    <row r="15" spans="1:5" ht="15" x14ac:dyDescent="0.35">
      <c r="A15" s="16" t="s">
        <v>37</v>
      </c>
      <c r="B15" s="17">
        <v>506</v>
      </c>
      <c r="C15" s="20">
        <v>0</v>
      </c>
      <c r="D15">
        <f t="shared" si="0"/>
        <v>0</v>
      </c>
    </row>
    <row r="16" spans="1:5" x14ac:dyDescent="0.35">
      <c r="A16" s="18" t="s">
        <v>5</v>
      </c>
      <c r="B16" s="19">
        <v>89.381</v>
      </c>
      <c r="C16" s="19"/>
      <c r="D16">
        <f>SUM(D5:D15)</f>
        <v>5.6252000000000004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9"/>
  <sheetViews>
    <sheetView workbookViewId="0">
      <selection activeCell="C8" sqref="C8"/>
    </sheetView>
  </sheetViews>
  <sheetFormatPr defaultRowHeight="14.5" x14ac:dyDescent="0.35"/>
  <cols>
    <col min="1" max="1" width="70.453125" bestFit="1" customWidth="1"/>
    <col min="2" max="2" width="16" bestFit="1" customWidth="1"/>
  </cols>
  <sheetData>
    <row r="1" spans="1:4" x14ac:dyDescent="0.35">
      <c r="A1" t="s">
        <v>38</v>
      </c>
    </row>
    <row r="3" spans="1:4" x14ac:dyDescent="0.35">
      <c r="B3" t="s">
        <v>39</v>
      </c>
      <c r="C3" t="s">
        <v>45</v>
      </c>
      <c r="D3" t="s">
        <v>23</v>
      </c>
    </row>
    <row r="4" spans="1:4" x14ac:dyDescent="0.35">
      <c r="A4" t="s">
        <v>40</v>
      </c>
      <c r="B4">
        <v>663</v>
      </c>
      <c r="C4" s="2">
        <v>0.02</v>
      </c>
      <c r="D4">
        <f>B4*C4/10^3</f>
        <v>1.3259999999999999E-2</v>
      </c>
    </row>
    <row r="5" spans="1:4" x14ac:dyDescent="0.35">
      <c r="A5" t="s">
        <v>41</v>
      </c>
      <c r="B5">
        <v>5132</v>
      </c>
      <c r="C5" s="2">
        <v>0.02</v>
      </c>
      <c r="D5">
        <f>B5*C5/10^3</f>
        <v>0.10264</v>
      </c>
    </row>
    <row r="6" spans="1:4" x14ac:dyDescent="0.35">
      <c r="A6" t="s">
        <v>42</v>
      </c>
      <c r="B6">
        <v>2416</v>
      </c>
      <c r="C6" s="2">
        <v>0.05</v>
      </c>
      <c r="D6">
        <f>B6*C6/10^3</f>
        <v>0.1208</v>
      </c>
    </row>
    <row r="7" spans="1:4" x14ac:dyDescent="0.35">
      <c r="A7" t="s">
        <v>43</v>
      </c>
      <c r="B7">
        <v>1440</v>
      </c>
      <c r="C7" s="2">
        <v>0.02</v>
      </c>
      <c r="D7">
        <f>B7*C7/10^3</f>
        <v>2.8799999999999999E-2</v>
      </c>
    </row>
    <row r="8" spans="1:4" x14ac:dyDescent="0.35">
      <c r="A8" t="s">
        <v>44</v>
      </c>
      <c r="B8">
        <v>373</v>
      </c>
      <c r="C8" s="2">
        <v>0.02</v>
      </c>
      <c r="D8">
        <f>B8*C8/10^3</f>
        <v>7.4599999999999996E-3</v>
      </c>
    </row>
    <row r="9" spans="1:4" x14ac:dyDescent="0.35">
      <c r="D9">
        <f>SUM(D4:D8)</f>
        <v>0.27296000000000004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Financieringsvoorstel</vt:lpstr>
      <vt:lpstr>Sleuteltabel</vt:lpstr>
      <vt:lpstr>Vermogensrendementsheffing</vt:lpstr>
      <vt:lpstr>Sheet4</vt:lpstr>
      <vt:lpstr>Zorgkosten</vt:lpstr>
      <vt:lpstr>V&amp;J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Harro Boven</dc:creator>
  <cp:lastModifiedBy>Harro Boven</cp:lastModifiedBy>
  <dcterms:created xsi:type="dcterms:W3CDTF">2015-05-15T16:04:31Z</dcterms:created>
  <dcterms:modified xsi:type="dcterms:W3CDTF">2020-06-24T12:08:56Z</dcterms:modified>
</cp:coreProperties>
</file>